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955" windowHeight="5160" firstSheet="3" activeTab="4"/>
  </bookViews>
  <sheets>
    <sheet name="κατά επαρχία και φύλο το 2017" sheetId="1" r:id="rId1"/>
    <sheet name="κατά επαρχία,  μήνα 2016,2017" sheetId="8" r:id="rId2"/>
    <sheet name="κατά φύλο, μήνα 2016,2017" sheetId="4" r:id="rId3"/>
    <sheet name="άνεργοι κατά μήνα 2007-2017" sheetId="6" r:id="rId4"/>
    <sheet name="δικ κατά μήν και κοιν 2016-2017" sheetId="10" r:id="rId5"/>
    <sheet name="δικ, ποσό πληρ. κατά μήνα 11-16" sheetId="5" r:id="rId6"/>
    <sheet name="άνεργοι κατά οικ. δραστ.1.2017" sheetId="11" r:id="rId7"/>
    <sheet name="άνεργοι κατά οικ. δραστ. 2.2017" sheetId="12" r:id="rId8"/>
    <sheet name="άνεργοι κατά οικ. δρστ. 3.2017" sheetId="13" r:id="rId9"/>
    <sheet name="άνεργοι κατά οικ. δραστ. 4.2017" sheetId="14" r:id="rId10"/>
    <sheet name="άνεργοι κατά οικ. δραστ. 5.2017" sheetId="15" r:id="rId11"/>
    <sheet name="άνεργοι κατά οικ. δρ. 6.2017" sheetId="16" r:id="rId12"/>
    <sheet name="άνεργοι κατά οικ. δρ. 7.2017" sheetId="17" r:id="rId13"/>
    <sheet name="άνεργοι κατά οικ. δρ. 8.17" sheetId="18" r:id="rId14"/>
    <sheet name="ανεργοι κατά οικ. δρ.9.17" sheetId="19" r:id="rId15"/>
    <sheet name="ανεργοι κατά οικ. δρ.10.17" sheetId="20" r:id="rId16"/>
    <sheet name="ανεργοι κατά οικ. δρ.11.17" sheetId="21" r:id="rId17"/>
    <sheet name="ανεργοι κατά οικ. δρ.12.17" sheetId="22" r:id="rId18"/>
  </sheets>
  <definedNames>
    <definedName name="_xlnm._FilterDatabase" localSheetId="5" hidden="1">'δικ, ποσό πληρ. κατά μήνα 11-16'!$J$23:$L$23</definedName>
  </definedNames>
  <calcPr calcId="124519"/>
</workbook>
</file>

<file path=xl/calcChain.xml><?xml version="1.0" encoding="utf-8"?>
<calcChain xmlns="http://schemas.openxmlformats.org/spreadsheetml/2006/main">
  <c r="Z19" i="10"/>
  <c r="AA19"/>
  <c r="AB19"/>
  <c r="Y19"/>
  <c r="AC18"/>
  <c r="AH20" i="5" s="1"/>
  <c r="AC17" i="10"/>
  <c r="AD17" s="1"/>
  <c r="AJ19" i="5" s="1"/>
  <c r="F28" i="22"/>
  <c r="F22"/>
  <c r="F20"/>
  <c r="F18"/>
  <c r="F17"/>
  <c r="F15"/>
  <c r="F13"/>
  <c r="F9"/>
  <c r="C24" i="8"/>
  <c r="G24"/>
  <c r="Q22" i="1"/>
  <c r="Q24" s="1"/>
  <c r="J22"/>
  <c r="K22"/>
  <c r="L22"/>
  <c r="M22"/>
  <c r="I22"/>
  <c r="C22"/>
  <c r="D22"/>
  <c r="E22"/>
  <c r="F22"/>
  <c r="B22"/>
  <c r="C22" i="8"/>
  <c r="D22"/>
  <c r="D24" s="1"/>
  <c r="E22"/>
  <c r="E24" s="1"/>
  <c r="F22"/>
  <c r="F24" s="1"/>
  <c r="G22"/>
  <c r="B22"/>
  <c r="B24" s="1"/>
  <c r="I21" i="4"/>
  <c r="L20" i="8"/>
  <c r="K20"/>
  <c r="J20"/>
  <c r="I20"/>
  <c r="H20"/>
  <c r="N20" i="1"/>
  <c r="G20"/>
  <c r="G21" i="4" s="1"/>
  <c r="AC16" i="10"/>
  <c r="AH18" i="5" s="1"/>
  <c r="AC10" i="10"/>
  <c r="F28" i="21"/>
  <c r="F22"/>
  <c r="F20"/>
  <c r="F19"/>
  <c r="F18"/>
  <c r="F17"/>
  <c r="F15"/>
  <c r="F13"/>
  <c r="F9"/>
  <c r="I20" i="4"/>
  <c r="L19" i="8"/>
  <c r="J19"/>
  <c r="K19"/>
  <c r="I19"/>
  <c r="H19"/>
  <c r="N19" i="1"/>
  <c r="G19"/>
  <c r="M19" i="8" s="1"/>
  <c r="J21" i="4" l="1"/>
  <c r="K21"/>
  <c r="H21"/>
  <c r="N19" i="8"/>
  <c r="X17" i="6"/>
  <c r="Y17" s="1"/>
  <c r="M20" i="8"/>
  <c r="AH19" i="5"/>
  <c r="P19" i="1"/>
  <c r="H19" s="1"/>
  <c r="P20"/>
  <c r="H20" s="1"/>
  <c r="G20" i="4"/>
  <c r="AD18" i="10"/>
  <c r="AJ20" i="5" s="1"/>
  <c r="AD16" i="10"/>
  <c r="AJ18" i="5" s="1"/>
  <c r="O20" i="1"/>
  <c r="R20"/>
  <c r="O19"/>
  <c r="R19"/>
  <c r="AC15" i="10"/>
  <c r="AD15" s="1"/>
  <c r="AJ17" i="5" s="1"/>
  <c r="F28" i="20"/>
  <c r="F22"/>
  <c r="F19"/>
  <c r="F18"/>
  <c r="F15"/>
  <c r="F13"/>
  <c r="F12"/>
  <c r="I19" i="4"/>
  <c r="G19"/>
  <c r="L18" i="8"/>
  <c r="K18"/>
  <c r="J18"/>
  <c r="I18"/>
  <c r="H18"/>
  <c r="N18" i="1"/>
  <c r="G18"/>
  <c r="M18" i="8" s="1"/>
  <c r="N18" l="1"/>
  <c r="X16" i="6"/>
  <c r="Y16" s="1"/>
  <c r="K19" i="4"/>
  <c r="J19" s="1"/>
  <c r="K20"/>
  <c r="J20" s="1"/>
  <c r="N20" i="8"/>
  <c r="X18" i="6"/>
  <c r="Y18" s="1"/>
  <c r="P18" i="1"/>
  <c r="R18" s="1"/>
  <c r="AH17" i="5"/>
  <c r="AC14" i="10"/>
  <c r="AH16" i="5" s="1"/>
  <c r="F28" i="19"/>
  <c r="F22"/>
  <c r="F20"/>
  <c r="F19"/>
  <c r="F15"/>
  <c r="F13"/>
  <c r="F12"/>
  <c r="L17" i="8"/>
  <c r="K17"/>
  <c r="J17"/>
  <c r="I17"/>
  <c r="H17"/>
  <c r="N17" i="1"/>
  <c r="P17" s="1"/>
  <c r="G17"/>
  <c r="G18" i="4" s="1"/>
  <c r="F20" i="18"/>
  <c r="F29"/>
  <c r="F23"/>
  <c r="F21"/>
  <c r="F17"/>
  <c r="F16"/>
  <c r="F14"/>
  <c r="F13"/>
  <c r="G17" i="4"/>
  <c r="L16" i="8"/>
  <c r="K16"/>
  <c r="J16"/>
  <c r="I16"/>
  <c r="H16"/>
  <c r="N16" i="1"/>
  <c r="I17" i="4" s="1"/>
  <c r="G16" i="1"/>
  <c r="P16" s="1"/>
  <c r="AC13" i="10"/>
  <c r="F28" i="17"/>
  <c r="F24"/>
  <c r="F19"/>
  <c r="F16"/>
  <c r="F15"/>
  <c r="F13"/>
  <c r="F12"/>
  <c r="I15" i="8"/>
  <c r="J15"/>
  <c r="J22" s="1"/>
  <c r="K15"/>
  <c r="K22" s="1"/>
  <c r="L15"/>
  <c r="H15"/>
  <c r="N15" i="1"/>
  <c r="G15"/>
  <c r="G22" s="1"/>
  <c r="Z12" i="10"/>
  <c r="Z20" s="1"/>
  <c r="AA12"/>
  <c r="AA20" s="1"/>
  <c r="AB12"/>
  <c r="AB20" s="1"/>
  <c r="Y12"/>
  <c r="Y20" s="1"/>
  <c r="AC11"/>
  <c r="AD11" s="1"/>
  <c r="AJ13" i="5" s="1"/>
  <c r="AH12"/>
  <c r="AI14"/>
  <c r="R16" i="1" l="1"/>
  <c r="H16"/>
  <c r="H17"/>
  <c r="R17"/>
  <c r="G16" i="4"/>
  <c r="K17"/>
  <c r="H17" s="1"/>
  <c r="N22" i="1"/>
  <c r="H22" i="8"/>
  <c r="I16" i="4"/>
  <c r="AH15" i="5"/>
  <c r="AH21" s="1"/>
  <c r="AC19" i="10"/>
  <c r="O17" i="1"/>
  <c r="M17" i="8"/>
  <c r="I18" i="4"/>
  <c r="H20"/>
  <c r="H15" i="1"/>
  <c r="M15" i="8"/>
  <c r="I22"/>
  <c r="O16" i="1"/>
  <c r="M16" i="8"/>
  <c r="O18" i="1"/>
  <c r="H19" i="4"/>
  <c r="P15" i="1"/>
  <c r="L22" i="8"/>
  <c r="H18" i="1"/>
  <c r="AD14" i="10"/>
  <c r="AJ16" i="5" s="1"/>
  <c r="AD13" i="10"/>
  <c r="AJ15" i="5" s="1"/>
  <c r="AH13"/>
  <c r="AD10" i="10"/>
  <c r="AJ12" i="5" s="1"/>
  <c r="O15" i="1"/>
  <c r="F28" i="16"/>
  <c r="F24"/>
  <c r="F19"/>
  <c r="F15"/>
  <c r="F14"/>
  <c r="G13" i="4"/>
  <c r="L12" i="8"/>
  <c r="K12"/>
  <c r="J12"/>
  <c r="I12"/>
  <c r="H12"/>
  <c r="M12" s="1"/>
  <c r="N12" s="1"/>
  <c r="N12" i="1"/>
  <c r="I13" i="4" s="1"/>
  <c r="G12" i="1"/>
  <c r="P12" s="1"/>
  <c r="H12" s="1"/>
  <c r="AC9" i="10"/>
  <c r="AH11" i="5" s="1"/>
  <c r="F29" i="15"/>
  <c r="F25"/>
  <c r="F20"/>
  <c r="F16"/>
  <c r="K13" i="4" l="1"/>
  <c r="X11" i="6" s="1"/>
  <c r="Y11" s="1"/>
  <c r="K18" i="4"/>
  <c r="H18" s="1"/>
  <c r="M22" i="8"/>
  <c r="N22" s="1"/>
  <c r="N15"/>
  <c r="X13" i="6"/>
  <c r="N17" i="8"/>
  <c r="X15" i="6"/>
  <c r="Y15" s="1"/>
  <c r="I23" i="4"/>
  <c r="G23"/>
  <c r="K16"/>
  <c r="K23" s="1"/>
  <c r="N16" i="8"/>
  <c r="X14" i="6"/>
  <c r="Y14" s="1"/>
  <c r="J17" i="4"/>
  <c r="P22" i="1"/>
  <c r="R15"/>
  <c r="AD19" i="10"/>
  <c r="AJ21" i="5" s="1"/>
  <c r="O22" i="1"/>
  <c r="AD9" i="10"/>
  <c r="AJ11" i="5" s="1"/>
  <c r="O12" i="1"/>
  <c r="R12"/>
  <c r="G12" i="4"/>
  <c r="L11" i="8"/>
  <c r="K11"/>
  <c r="J11"/>
  <c r="I11"/>
  <c r="H11"/>
  <c r="M11" s="1"/>
  <c r="N11" s="1"/>
  <c r="N11" i="1"/>
  <c r="I12" i="4" s="1"/>
  <c r="P11" i="1"/>
  <c r="H11" s="1"/>
  <c r="G11"/>
  <c r="AC8" i="10"/>
  <c r="AD8" s="1"/>
  <c r="AJ10" i="5" s="1"/>
  <c r="AE9"/>
  <c r="AE10"/>
  <c r="AE11"/>
  <c r="AE12"/>
  <c r="AE13"/>
  <c r="AE14"/>
  <c r="AE15"/>
  <c r="AE16"/>
  <c r="AE17"/>
  <c r="AE18"/>
  <c r="AE19"/>
  <c r="AE20"/>
  <c r="AE21"/>
  <c r="AE22"/>
  <c r="AG9"/>
  <c r="AG10"/>
  <c r="AG11"/>
  <c r="AG12"/>
  <c r="AG13"/>
  <c r="AG14"/>
  <c r="AG15"/>
  <c r="AG16"/>
  <c r="AG17"/>
  <c r="AG18"/>
  <c r="AG19"/>
  <c r="AG20"/>
  <c r="AG21"/>
  <c r="AG22"/>
  <c r="AG8"/>
  <c r="AE8"/>
  <c r="F29" i="14"/>
  <c r="F24"/>
  <c r="F20"/>
  <c r="F16"/>
  <c r="L10" i="8"/>
  <c r="K10"/>
  <c r="J10"/>
  <c r="I10"/>
  <c r="H10"/>
  <c r="M10" s="1"/>
  <c r="N10" s="1"/>
  <c r="N10" i="1"/>
  <c r="I11" i="4" s="1"/>
  <c r="G10" i="1"/>
  <c r="G11" i="4" s="1"/>
  <c r="AC7" i="10"/>
  <c r="AD7" s="1"/>
  <c r="AJ9" i="5" s="1"/>
  <c r="F28" i="13"/>
  <c r="F23"/>
  <c r="F19"/>
  <c r="F17"/>
  <c r="F15"/>
  <c r="L9" i="8"/>
  <c r="K9"/>
  <c r="J9"/>
  <c r="I9"/>
  <c r="H9"/>
  <c r="M9" s="1"/>
  <c r="N9" s="1"/>
  <c r="N9" i="1"/>
  <c r="I10" i="4" s="1"/>
  <c r="G9" i="1"/>
  <c r="G10" i="4" s="1"/>
  <c r="AC6" i="10"/>
  <c r="AD6" s="1"/>
  <c r="F28" i="12"/>
  <c r="F23"/>
  <c r="F19"/>
  <c r="F17"/>
  <c r="F15"/>
  <c r="L8" i="8"/>
  <c r="K8"/>
  <c r="J8"/>
  <c r="I8"/>
  <c r="H8"/>
  <c r="M8" s="1"/>
  <c r="N8" s="1"/>
  <c r="N8" i="1"/>
  <c r="I9" i="4" s="1"/>
  <c r="G8" i="1"/>
  <c r="G9" i="4" s="1"/>
  <c r="J10" l="1"/>
  <c r="J12"/>
  <c r="K9"/>
  <c r="X7" i="6" s="1"/>
  <c r="Y7" s="1"/>
  <c r="H12" i="4"/>
  <c r="J9"/>
  <c r="K10"/>
  <c r="X8" i="6" s="1"/>
  <c r="Y8" s="1"/>
  <c r="H10" i="4"/>
  <c r="K11"/>
  <c r="X9" i="6" s="1"/>
  <c r="Y9" s="1"/>
  <c r="P8" i="1"/>
  <c r="R8" s="1"/>
  <c r="P10"/>
  <c r="R10" s="1"/>
  <c r="H8"/>
  <c r="O9"/>
  <c r="K12" i="4"/>
  <c r="X10" i="6" s="1"/>
  <c r="Y10" s="1"/>
  <c r="H23" i="4"/>
  <c r="H13"/>
  <c r="P9" i="1"/>
  <c r="R9" s="1"/>
  <c r="J16" i="4"/>
  <c r="X19" i="6"/>
  <c r="Y19" s="1"/>
  <c r="Y13"/>
  <c r="J13" i="4"/>
  <c r="O8" i="1"/>
  <c r="H9"/>
  <c r="O10"/>
  <c r="R22"/>
  <c r="H22"/>
  <c r="H16" i="4"/>
  <c r="J23"/>
  <c r="J18"/>
  <c r="AJ8" i="5"/>
  <c r="AC12" i="10"/>
  <c r="AH10" i="5"/>
  <c r="O11" i="1"/>
  <c r="R11"/>
  <c r="AH9" i="5"/>
  <c r="AH8"/>
  <c r="F28" i="11"/>
  <c r="F23"/>
  <c r="F17"/>
  <c r="F15"/>
  <c r="H7" i="8"/>
  <c r="H14" s="1"/>
  <c r="H24" s="1"/>
  <c r="J11" i="4" l="1"/>
  <c r="AD12" i="10"/>
  <c r="AJ14" i="5" s="1"/>
  <c r="AC20" i="10"/>
  <c r="AD20" s="1"/>
  <c r="H11" i="4"/>
  <c r="H10" i="1"/>
  <c r="H9" i="4"/>
  <c r="AH14" i="5"/>
  <c r="AH22" s="1"/>
  <c r="AJ22" s="1"/>
  <c r="F30" i="20"/>
  <c r="C30" i="19" l="1"/>
  <c r="F30" i="17" l="1"/>
  <c r="E30" i="16" l="1"/>
  <c r="F30" l="1"/>
  <c r="Y22" i="5" l="1"/>
  <c r="Y21"/>
  <c r="D30" i="13" l="1"/>
  <c r="AI21" i="5" l="1"/>
  <c r="G28" i="20" l="1"/>
  <c r="E30" i="17" l="1"/>
  <c r="V21" i="5" l="1"/>
  <c r="AA21" s="1"/>
  <c r="D31" i="15" l="1"/>
  <c r="G10" i="14"/>
  <c r="D31"/>
  <c r="C31"/>
  <c r="G8"/>
  <c r="T20" i="6" l="1"/>
  <c r="U20"/>
  <c r="U19" l="1"/>
  <c r="U12"/>
  <c r="G26" i="21" l="1"/>
  <c r="G27"/>
  <c r="G28"/>
  <c r="D30" i="20"/>
  <c r="G9" i="19" l="1"/>
  <c r="C31" i="18" l="1"/>
  <c r="G9" i="14" l="1"/>
  <c r="G11"/>
  <c r="G12"/>
  <c r="G18"/>
  <c r="G19"/>
  <c r="G20"/>
  <c r="G22"/>
  <c r="G23"/>
  <c r="G24"/>
  <c r="G25"/>
  <c r="G26"/>
  <c r="G27"/>
  <c r="G28"/>
  <c r="G30"/>
  <c r="G29"/>
  <c r="G21"/>
  <c r="G17"/>
  <c r="G16"/>
  <c r="G15"/>
  <c r="G14"/>
  <c r="G13"/>
  <c r="G31" l="1"/>
  <c r="H30" s="1"/>
  <c r="I7" i="8"/>
  <c r="I14" s="1"/>
  <c r="I24" s="1"/>
  <c r="J7"/>
  <c r="J14" s="1"/>
  <c r="J24" s="1"/>
  <c r="K7"/>
  <c r="K14" s="1"/>
  <c r="K24" s="1"/>
  <c r="L7"/>
  <c r="L14" s="1"/>
  <c r="L24" s="1"/>
  <c r="P14" i="5"/>
  <c r="Q14"/>
  <c r="P21"/>
  <c r="Q21"/>
  <c r="P22"/>
  <c r="E30" i="22"/>
  <c r="D30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F30"/>
  <c r="G8"/>
  <c r="G7"/>
  <c r="W14" i="5"/>
  <c r="G17" i="21"/>
  <c r="E30"/>
  <c r="D30"/>
  <c r="C30"/>
  <c r="G29"/>
  <c r="G25"/>
  <c r="G24"/>
  <c r="G23"/>
  <c r="G22"/>
  <c r="G21"/>
  <c r="G20"/>
  <c r="G19"/>
  <c r="G18"/>
  <c r="G16"/>
  <c r="G15"/>
  <c r="G14"/>
  <c r="G13"/>
  <c r="G12"/>
  <c r="G11"/>
  <c r="G10"/>
  <c r="F30"/>
  <c r="G8"/>
  <c r="G7"/>
  <c r="A29" i="8"/>
  <c r="A29" i="4" s="1"/>
  <c r="A25" i="6" s="1"/>
  <c r="A31" i="5" s="1"/>
  <c r="W21"/>
  <c r="E30" i="20"/>
  <c r="C30"/>
  <c r="G29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F30" i="19"/>
  <c r="E30"/>
  <c r="D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8"/>
  <c r="G7"/>
  <c r="F31" i="18"/>
  <c r="E31"/>
  <c r="D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D30" i="17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D30" i="16"/>
  <c r="C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T12" i="6"/>
  <c r="G30" i="15"/>
  <c r="F31"/>
  <c r="C31"/>
  <c r="G29"/>
  <c r="G28"/>
  <c r="G27"/>
  <c r="G26"/>
  <c r="G25"/>
  <c r="G24"/>
  <c r="G23"/>
  <c r="G22"/>
  <c r="G21"/>
  <c r="G20"/>
  <c r="G19"/>
  <c r="G18"/>
  <c r="G17"/>
  <c r="E31"/>
  <c r="G15"/>
  <c r="G14"/>
  <c r="G13"/>
  <c r="G12"/>
  <c r="G11"/>
  <c r="G10"/>
  <c r="G9"/>
  <c r="G8"/>
  <c r="U20" i="5"/>
  <c r="S22"/>
  <c r="S21"/>
  <c r="O19" i="10"/>
  <c r="M20"/>
  <c r="P20"/>
  <c r="O20"/>
  <c r="N20"/>
  <c r="P19"/>
  <c r="N19"/>
  <c r="M19"/>
  <c r="Q6"/>
  <c r="F31" i="14"/>
  <c r="F30" i="13"/>
  <c r="C30"/>
  <c r="G29"/>
  <c r="G28"/>
  <c r="G27"/>
  <c r="G26"/>
  <c r="G25"/>
  <c r="G24"/>
  <c r="G23"/>
  <c r="G22"/>
  <c r="G21"/>
  <c r="G20"/>
  <c r="G19"/>
  <c r="G18"/>
  <c r="G17"/>
  <c r="G16"/>
  <c r="G15"/>
  <c r="E30"/>
  <c r="G14"/>
  <c r="G13"/>
  <c r="G12"/>
  <c r="G11"/>
  <c r="G10"/>
  <c r="G9"/>
  <c r="G8"/>
  <c r="G7"/>
  <c r="F30" i="12"/>
  <c r="C30"/>
  <c r="G29"/>
  <c r="G28"/>
  <c r="G27"/>
  <c r="G26"/>
  <c r="G25"/>
  <c r="G24"/>
  <c r="G23"/>
  <c r="G22"/>
  <c r="G21"/>
  <c r="G20"/>
  <c r="G19"/>
  <c r="G18"/>
  <c r="G17"/>
  <c r="G16"/>
  <c r="E30"/>
  <c r="D30"/>
  <c r="G14"/>
  <c r="G13"/>
  <c r="G12"/>
  <c r="G11"/>
  <c r="G10"/>
  <c r="G9"/>
  <c r="G8"/>
  <c r="G7"/>
  <c r="U19" i="5"/>
  <c r="U18"/>
  <c r="U17"/>
  <c r="U16"/>
  <c r="U15"/>
  <c r="Q16" i="10"/>
  <c r="Q15"/>
  <c r="Q14"/>
  <c r="Q13"/>
  <c r="F30" i="11"/>
  <c r="E30"/>
  <c r="D30"/>
  <c r="C30"/>
  <c r="S20" i="6"/>
  <c r="S19"/>
  <c r="K11" i="10"/>
  <c r="U13" i="5"/>
  <c r="U12"/>
  <c r="P12" i="10"/>
  <c r="O12"/>
  <c r="N12"/>
  <c r="M12"/>
  <c r="Q11"/>
  <c r="Q10"/>
  <c r="S14" i="5"/>
  <c r="G29" i="11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S12" i="6"/>
  <c r="U11" i="5"/>
  <c r="U10"/>
  <c r="Q9" i="10"/>
  <c r="Q8"/>
  <c r="Q7"/>
  <c r="U9" i="5"/>
  <c r="U8"/>
  <c r="R20"/>
  <c r="R19"/>
  <c r="R18"/>
  <c r="T21"/>
  <c r="T14"/>
  <c r="C20" i="6"/>
  <c r="B20"/>
  <c r="C19"/>
  <c r="B19"/>
  <c r="C12"/>
  <c r="B12"/>
  <c r="L20"/>
  <c r="K20"/>
  <c r="J20"/>
  <c r="I20"/>
  <c r="E20"/>
  <c r="D20"/>
  <c r="L19"/>
  <c r="K19"/>
  <c r="J19"/>
  <c r="I19"/>
  <c r="E19"/>
  <c r="D19"/>
  <c r="L12"/>
  <c r="K12"/>
  <c r="J12"/>
  <c r="I12"/>
  <c r="F12"/>
  <c r="E12"/>
  <c r="D12"/>
  <c r="R17" i="5"/>
  <c r="R16"/>
  <c r="R15"/>
  <c r="B18" i="10"/>
  <c r="F18" s="1"/>
  <c r="B17"/>
  <c r="F17" s="1"/>
  <c r="B16"/>
  <c r="B15"/>
  <c r="B14"/>
  <c r="F14" s="1"/>
  <c r="B13"/>
  <c r="F13" s="1"/>
  <c r="B11"/>
  <c r="B10"/>
  <c r="B9"/>
  <c r="B8"/>
  <c r="B7"/>
  <c r="B6"/>
  <c r="F6" s="1"/>
  <c r="R19" i="6"/>
  <c r="R20"/>
  <c r="H14" i="5"/>
  <c r="F14"/>
  <c r="D14"/>
  <c r="B14"/>
  <c r="E21"/>
  <c r="D21"/>
  <c r="E14"/>
  <c r="E22" s="1"/>
  <c r="M22"/>
  <c r="M21"/>
  <c r="M14"/>
  <c r="J14"/>
  <c r="Q20" i="6"/>
  <c r="P20"/>
  <c r="O20"/>
  <c r="N20"/>
  <c r="M20"/>
  <c r="M19"/>
  <c r="Q19"/>
  <c r="P19"/>
  <c r="O19"/>
  <c r="N19"/>
  <c r="R12"/>
  <c r="Q12"/>
  <c r="P12"/>
  <c r="O12"/>
  <c r="N12"/>
  <c r="M12"/>
  <c r="F8" i="10"/>
  <c r="J12"/>
  <c r="I12"/>
  <c r="H12"/>
  <c r="G12"/>
  <c r="F16"/>
  <c r="F15"/>
  <c r="K18"/>
  <c r="L18" s="1"/>
  <c r="K17"/>
  <c r="L17" s="1"/>
  <c r="K16"/>
  <c r="L16" s="1"/>
  <c r="K15"/>
  <c r="K14"/>
  <c r="R14" s="1"/>
  <c r="K13"/>
  <c r="R13" s="1"/>
  <c r="F11"/>
  <c r="L11" s="1"/>
  <c r="F10"/>
  <c r="F9"/>
  <c r="F7"/>
  <c r="K10"/>
  <c r="K9"/>
  <c r="K8"/>
  <c r="K7"/>
  <c r="K6"/>
  <c r="J20"/>
  <c r="I20"/>
  <c r="H20"/>
  <c r="G20"/>
  <c r="J19"/>
  <c r="I19"/>
  <c r="H19"/>
  <c r="G19"/>
  <c r="E20"/>
  <c r="D20"/>
  <c r="C20"/>
  <c r="E19"/>
  <c r="D19"/>
  <c r="C19"/>
  <c r="E12"/>
  <c r="D12"/>
  <c r="C12"/>
  <c r="R13" i="5"/>
  <c r="R12"/>
  <c r="R11"/>
  <c r="R10"/>
  <c r="R9"/>
  <c r="R8"/>
  <c r="L8"/>
  <c r="L9"/>
  <c r="L10"/>
  <c r="L11"/>
  <c r="L12"/>
  <c r="L13"/>
  <c r="L14"/>
  <c r="I14"/>
  <c r="I22" s="1"/>
  <c r="K14"/>
  <c r="L15"/>
  <c r="L16"/>
  <c r="L17"/>
  <c r="L18"/>
  <c r="L19"/>
  <c r="L20"/>
  <c r="H21"/>
  <c r="L21" s="1"/>
  <c r="I21"/>
  <c r="J21"/>
  <c r="K21"/>
  <c r="K22" s="1"/>
  <c r="H22"/>
  <c r="J22"/>
  <c r="O20"/>
  <c r="O19"/>
  <c r="O21"/>
  <c r="O18"/>
  <c r="O17"/>
  <c r="O16"/>
  <c r="O15"/>
  <c r="M14" i="1"/>
  <c r="M24" s="1"/>
  <c r="L14"/>
  <c r="L24" s="1"/>
  <c r="K14"/>
  <c r="K24" s="1"/>
  <c r="J14"/>
  <c r="J24" s="1"/>
  <c r="I14"/>
  <c r="I24" s="1"/>
  <c r="F14"/>
  <c r="F24" s="1"/>
  <c r="E14"/>
  <c r="E24" s="1"/>
  <c r="D14"/>
  <c r="D24" s="1"/>
  <c r="C14"/>
  <c r="C24" s="1"/>
  <c r="B14"/>
  <c r="B24" s="1"/>
  <c r="O13" i="5"/>
  <c r="O12"/>
  <c r="N14"/>
  <c r="O11"/>
  <c r="O10"/>
  <c r="O9"/>
  <c r="N7" i="1"/>
  <c r="O8" i="5"/>
  <c r="N21"/>
  <c r="C14"/>
  <c r="G14"/>
  <c r="B21"/>
  <c r="C21"/>
  <c r="F21"/>
  <c r="G21"/>
  <c r="G22" s="1"/>
  <c r="H6" i="6"/>
  <c r="G7"/>
  <c r="H8"/>
  <c r="G9"/>
  <c r="H9"/>
  <c r="H10"/>
  <c r="H11"/>
  <c r="G13"/>
  <c r="H13"/>
  <c r="H14"/>
  <c r="H15"/>
  <c r="G16"/>
  <c r="H16"/>
  <c r="F17"/>
  <c r="F18"/>
  <c r="H18"/>
  <c r="G7" i="1"/>
  <c r="G8" i="4" s="1"/>
  <c r="Q17" i="10"/>
  <c r="G15" i="12"/>
  <c r="Q18" i="10"/>
  <c r="E31" i="14"/>
  <c r="G16" i="15"/>
  <c r="R9" i="10"/>
  <c r="G9" i="21"/>
  <c r="R15" i="10" l="1"/>
  <c r="R17"/>
  <c r="L8"/>
  <c r="Q12"/>
  <c r="O22" i="5"/>
  <c r="L10" i="10"/>
  <c r="R16"/>
  <c r="G30" i="17"/>
  <c r="H7" s="1"/>
  <c r="U14" i="5"/>
  <c r="G31" i="18"/>
  <c r="H10" s="1"/>
  <c r="W22" i="5"/>
  <c r="K12" i="10"/>
  <c r="R12" s="1"/>
  <c r="F19"/>
  <c r="G31" i="15"/>
  <c r="H10" s="1"/>
  <c r="L22" i="5"/>
  <c r="L9" i="10"/>
  <c r="O14" i="5"/>
  <c r="D22"/>
  <c r="R6" i="10"/>
  <c r="Q19"/>
  <c r="R7"/>
  <c r="B19"/>
  <c r="G30" i="22"/>
  <c r="H27" s="1"/>
  <c r="G30" i="21"/>
  <c r="H8" s="1"/>
  <c r="G30" i="13"/>
  <c r="H14" s="1"/>
  <c r="Q22" i="5"/>
  <c r="G14" i="1"/>
  <c r="G24" s="1"/>
  <c r="T19" i="6"/>
  <c r="G30" i="20"/>
  <c r="H7" s="1"/>
  <c r="G30" i="19"/>
  <c r="H7" s="1"/>
  <c r="G30" i="16"/>
  <c r="H8" s="1"/>
  <c r="N22" i="5"/>
  <c r="T22"/>
  <c r="R14"/>
  <c r="H18" i="14"/>
  <c r="H10"/>
  <c r="H26"/>
  <c r="H13"/>
  <c r="H21"/>
  <c r="H29"/>
  <c r="H12"/>
  <c r="H20"/>
  <c r="H28"/>
  <c r="H15"/>
  <c r="H14"/>
  <c r="H22"/>
  <c r="H9"/>
  <c r="H17"/>
  <c r="H25"/>
  <c r="H8"/>
  <c r="H16"/>
  <c r="H24"/>
  <c r="H11"/>
  <c r="H19"/>
  <c r="H23"/>
  <c r="H27"/>
  <c r="F20" i="6"/>
  <c r="G19"/>
  <c r="G20"/>
  <c r="H19"/>
  <c r="H20"/>
  <c r="G15" i="4"/>
  <c r="G25" s="1"/>
  <c r="I8"/>
  <c r="F22" i="5"/>
  <c r="B22"/>
  <c r="F20" i="10"/>
  <c r="F12"/>
  <c r="R10"/>
  <c r="R8"/>
  <c r="R18"/>
  <c r="K20"/>
  <c r="B12"/>
  <c r="B20"/>
  <c r="K19"/>
  <c r="R11"/>
  <c r="Q20"/>
  <c r="L6"/>
  <c r="L7"/>
  <c r="L13"/>
  <c r="L14"/>
  <c r="L15"/>
  <c r="V22" i="5"/>
  <c r="AA22" s="1"/>
  <c r="P7" i="1"/>
  <c r="O7" s="1"/>
  <c r="N14"/>
  <c r="N24" s="1"/>
  <c r="M7" i="8"/>
  <c r="G30" i="11"/>
  <c r="H30" s="1"/>
  <c r="G30" i="12"/>
  <c r="H8" s="1"/>
  <c r="V14" i="5"/>
  <c r="X21"/>
  <c r="C22"/>
  <c r="R22"/>
  <c r="U21"/>
  <c r="R21"/>
  <c r="U22"/>
  <c r="G12" i="6"/>
  <c r="F19"/>
  <c r="H12"/>
  <c r="R20" i="10" l="1"/>
  <c r="N7" i="8"/>
  <c r="M14"/>
  <c r="H13" i="17"/>
  <c r="H7" i="21"/>
  <c r="H29" i="18"/>
  <c r="H28"/>
  <c r="H15"/>
  <c r="H13"/>
  <c r="H21"/>
  <c r="H20"/>
  <c r="H22"/>
  <c r="H23"/>
  <c r="H30"/>
  <c r="H14"/>
  <c r="H12"/>
  <c r="H25"/>
  <c r="H17"/>
  <c r="H9"/>
  <c r="H24"/>
  <c r="H16"/>
  <c r="H8"/>
  <c r="H27"/>
  <c r="H19"/>
  <c r="H11"/>
  <c r="H26"/>
  <c r="H18"/>
  <c r="H22" i="17"/>
  <c r="H14"/>
  <c r="H29"/>
  <c r="H21"/>
  <c r="H20"/>
  <c r="H27"/>
  <c r="H11"/>
  <c r="L12" i="10"/>
  <c r="H13" i="13"/>
  <c r="H26" i="17"/>
  <c r="H18"/>
  <c r="H10"/>
  <c r="H25"/>
  <c r="H17"/>
  <c r="H9"/>
  <c r="H28"/>
  <c r="H12"/>
  <c r="H19"/>
  <c r="H24"/>
  <c r="H16"/>
  <c r="H8"/>
  <c r="H23"/>
  <c r="H15"/>
  <c r="H15" i="15"/>
  <c r="H23"/>
  <c r="H8"/>
  <c r="H18"/>
  <c r="H22"/>
  <c r="H29"/>
  <c r="H11"/>
  <c r="H24"/>
  <c r="H9"/>
  <c r="H21"/>
  <c r="H13"/>
  <c r="H16"/>
  <c r="H12"/>
  <c r="H25"/>
  <c r="H14"/>
  <c r="H28"/>
  <c r="H24" i="21"/>
  <c r="H27" i="15"/>
  <c r="H19"/>
  <c r="H26"/>
  <c r="H17"/>
  <c r="H30"/>
  <c r="H20"/>
  <c r="H25" i="22"/>
  <c r="H26" i="21"/>
  <c r="H22"/>
  <c r="L20" i="10"/>
  <c r="H28" i="21"/>
  <c r="H20"/>
  <c r="H29" i="13"/>
  <c r="H19"/>
  <c r="H16"/>
  <c r="H8"/>
  <c r="H7" i="1"/>
  <c r="H25" i="13"/>
  <c r="H27"/>
  <c r="H22"/>
  <c r="H15"/>
  <c r="H20"/>
  <c r="H10"/>
  <c r="R19" i="10"/>
  <c r="H17" i="13"/>
  <c r="H23"/>
  <c r="H24"/>
  <c r="H28"/>
  <c r="H9"/>
  <c r="H12"/>
  <c r="H21"/>
  <c r="H26"/>
  <c r="H18"/>
  <c r="H7"/>
  <c r="H11"/>
  <c r="H12" i="22"/>
  <c r="H24"/>
  <c r="H20"/>
  <c r="H16"/>
  <c r="H23"/>
  <c r="H9"/>
  <c r="H14"/>
  <c r="H18"/>
  <c r="H28"/>
  <c r="H11"/>
  <c r="H19"/>
  <c r="H22"/>
  <c r="H15"/>
  <c r="H21"/>
  <c r="H7"/>
  <c r="H29"/>
  <c r="H26"/>
  <c r="H13"/>
  <c r="H8"/>
  <c r="H17"/>
  <c r="H10"/>
  <c r="H18" i="21"/>
  <c r="H15"/>
  <c r="H13"/>
  <c r="H11"/>
  <c r="H9"/>
  <c r="H17"/>
  <c r="H29"/>
  <c r="H27"/>
  <c r="H25"/>
  <c r="H23"/>
  <c r="H21"/>
  <c r="H19"/>
  <c r="H16"/>
  <c r="H14"/>
  <c r="H12"/>
  <c r="H10"/>
  <c r="R7" i="1"/>
  <c r="P14"/>
  <c r="X14" i="5"/>
  <c r="H28" i="20"/>
  <c r="H24"/>
  <c r="H26"/>
  <c r="H22"/>
  <c r="H14"/>
  <c r="H18"/>
  <c r="H10"/>
  <c r="H25"/>
  <c r="H17"/>
  <c r="H9"/>
  <c r="H20"/>
  <c r="H16"/>
  <c r="H12"/>
  <c r="H8"/>
  <c r="H29"/>
  <c r="H21"/>
  <c r="H13"/>
  <c r="H27"/>
  <c r="H23"/>
  <c r="H19"/>
  <c r="H15"/>
  <c r="H11"/>
  <c r="H28" i="19"/>
  <c r="H24"/>
  <c r="H20"/>
  <c r="H26"/>
  <c r="H22"/>
  <c r="H16"/>
  <c r="H8"/>
  <c r="H12"/>
  <c r="H27"/>
  <c r="H23"/>
  <c r="H18"/>
  <c r="H14"/>
  <c r="H10"/>
  <c r="H29"/>
  <c r="H25"/>
  <c r="H15"/>
  <c r="H19"/>
  <c r="H11"/>
  <c r="H21"/>
  <c r="H17"/>
  <c r="H13"/>
  <c r="H9"/>
  <c r="H27" i="16"/>
  <c r="H23"/>
  <c r="H29"/>
  <c r="H25"/>
  <c r="H19"/>
  <c r="H21"/>
  <c r="H15"/>
  <c r="H17"/>
  <c r="H13"/>
  <c r="H7"/>
  <c r="H11"/>
  <c r="H22"/>
  <c r="H26"/>
  <c r="H18"/>
  <c r="H9"/>
  <c r="H28"/>
  <c r="H24"/>
  <c r="H20"/>
  <c r="H14"/>
  <c r="H16"/>
  <c r="H12"/>
  <c r="H10"/>
  <c r="H31" i="14"/>
  <c r="I15" i="4"/>
  <c r="I25" s="1"/>
  <c r="K8"/>
  <c r="L19" i="10"/>
  <c r="X22" i="5"/>
  <c r="H29" i="11"/>
  <c r="H17"/>
  <c r="H25"/>
  <c r="H26"/>
  <c r="H21"/>
  <c r="H13"/>
  <c r="H14"/>
  <c r="H9"/>
  <c r="H22"/>
  <c r="H7"/>
  <c r="H18"/>
  <c r="H10"/>
  <c r="H23"/>
  <c r="H27"/>
  <c r="H15"/>
  <c r="H19"/>
  <c r="H28"/>
  <c r="H11"/>
  <c r="H20"/>
  <c r="H12"/>
  <c r="H24"/>
  <c r="H16"/>
  <c r="H8"/>
  <c r="H28" i="12"/>
  <c r="H24"/>
  <c r="H20"/>
  <c r="H16"/>
  <c r="H11"/>
  <c r="H7"/>
  <c r="H27"/>
  <c r="H23"/>
  <c r="H19"/>
  <c r="H14"/>
  <c r="H10"/>
  <c r="H15"/>
  <c r="H26"/>
  <c r="H22"/>
  <c r="H18"/>
  <c r="H13"/>
  <c r="H9"/>
  <c r="H29"/>
  <c r="H25"/>
  <c r="H21"/>
  <c r="H17"/>
  <c r="H12"/>
  <c r="R14" i="1" l="1"/>
  <c r="P24"/>
  <c r="M24" i="8"/>
  <c r="N24" s="1"/>
  <c r="N14"/>
  <c r="H31" i="18"/>
  <c r="H30" i="17"/>
  <c r="H31" i="15"/>
  <c r="H30" i="13"/>
  <c r="O14" i="1"/>
  <c r="H30" i="22"/>
  <c r="H30" i="21"/>
  <c r="H14" i="1"/>
  <c r="H30" i="20"/>
  <c r="H30" i="19"/>
  <c r="H30" i="16"/>
  <c r="H30" i="12"/>
  <c r="H8" i="4"/>
  <c r="X6" i="6"/>
  <c r="Y6" s="1"/>
  <c r="J8" i="4"/>
  <c r="K15"/>
  <c r="K25" s="1"/>
  <c r="H25" s="1"/>
  <c r="R24" i="1" l="1"/>
  <c r="O24"/>
  <c r="H24"/>
  <c r="J25" i="4"/>
  <c r="H15"/>
  <c r="J15"/>
  <c r="X12" i="6"/>
  <c r="Y12" l="1"/>
  <c r="X20"/>
  <c r="Y20" s="1"/>
</calcChain>
</file>

<file path=xl/comments1.xml><?xml version="1.0" encoding="utf-8"?>
<comments xmlns="http://schemas.openxmlformats.org/spreadsheetml/2006/main">
  <authors>
    <author>stchristou</author>
  </authors>
  <commentList>
    <comment ref="AF23" authorId="0">
      <text>
        <r>
          <rPr>
            <b/>
            <sz val="9"/>
            <color indexed="81"/>
            <rFont val="Tahoma"/>
            <family val="2"/>
            <charset val="161"/>
          </rPr>
          <t>stchristou:</t>
        </r>
        <r>
          <rPr>
            <sz val="9"/>
            <color indexed="81"/>
            <rFont val="Tahoma"/>
            <family val="2"/>
            <charset val="161"/>
          </rPr>
          <t xml:space="preserve">
ΑΠΌ ΤΟΥΣ ΤΕΛΙΚΟΥΣ ΛΟΓΑΡΑΙΣΜΟΥ ΤΗΣ ΚΑΙΤΗΣ.ΕΙΝΑΙ 460911529+360911918-160911642</t>
        </r>
      </text>
    </comment>
    <comment ref="AI23" authorId="0">
      <text>
        <r>
          <rPr>
            <b/>
            <sz val="9"/>
            <color indexed="81"/>
            <rFont val="Tahoma"/>
            <family val="2"/>
            <charset val="161"/>
          </rPr>
          <t>stchristou:</t>
        </r>
        <r>
          <rPr>
            <sz val="9"/>
            <color indexed="81"/>
            <rFont val="Tahoma"/>
            <family val="2"/>
            <charset val="161"/>
          </rPr>
          <t xml:space="preserve">
ΑΠΌ ΤΟΥΣ ΤΕΛΙΚΟΥΣ ΛΟΓΑΡΑΙΣΜΟΥ ΤΗΣ ΚΑΙΤΗΣ.ΕΙΝΑΙ 460911529+360911918-160911642</t>
        </r>
      </text>
    </comment>
  </commentList>
</comments>
</file>

<file path=xl/sharedStrings.xml><?xml version="1.0" encoding="utf-8"?>
<sst xmlns="http://schemas.openxmlformats.org/spreadsheetml/2006/main" count="736" uniqueCount="154">
  <si>
    <t>ΜΗΝΑΣ</t>
  </si>
  <si>
    <t>ΛΕΥΚΩΣΙΑ</t>
  </si>
  <si>
    <t>ΛΑΡΝΑΚΑ</t>
  </si>
  <si>
    <t>ΠΑΡΑΛΙΜΝΙ</t>
  </si>
  <si>
    <t>ΛΕΜΕΣΟΣ</t>
  </si>
  <si>
    <t>ΠΑΦΟΣ</t>
  </si>
  <si>
    <t>ΣΥΝΟΛΟ</t>
  </si>
  <si>
    <t>ΑΥΓΟΥΣΤΟΣ</t>
  </si>
  <si>
    <t>ΑΝΔΡΕΣ</t>
  </si>
  <si>
    <t>ΓΥΝΑΙΚΕΣ</t>
  </si>
  <si>
    <t>ΠΟΣΟΣΤΟ</t>
  </si>
  <si>
    <t xml:space="preserve"> ΥΠΗΡΕΣΙΕΣ ΚΟΙΝΩΝΙΚΩΝ ΑΣΦΑΛΙΣΕΩΝ</t>
  </si>
  <si>
    <t>ΚΛΑΔΟΣ ΣΤΑΤΙΣΤΙΚΗΣ</t>
  </si>
  <si>
    <t>£</t>
  </si>
  <si>
    <t>Μ Η Ν Α Σ</t>
  </si>
  <si>
    <t>ΑΡΙΘΜΟΣ</t>
  </si>
  <si>
    <t>ΠΟΣΟ ΠΟΥ</t>
  </si>
  <si>
    <t>ΠΡΟΣΩΠΩΝ</t>
  </si>
  <si>
    <t>ΠΛΗΡΩΘΗΚΕ</t>
  </si>
  <si>
    <t>12356*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</si>
  <si>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</si>
  <si>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</si>
  <si>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</si>
  <si>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</si>
  <si>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</si>
  <si>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</si>
  <si>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</si>
  <si>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ΣΕΠΤΕΜΒΡΙΟΣ</t>
  </si>
  <si>
    <t>ΟΚΤΩΒΡΙΟΣ</t>
  </si>
  <si>
    <t>ΝΟΕΜΒΡΙΟΣ</t>
  </si>
  <si>
    <t>ΔΕΚΕΜΒΡΙΟΣ</t>
  </si>
  <si>
    <t>ΠΛΗΡΩΘΗΚΕ*</t>
  </si>
  <si>
    <t xml:space="preserve">                ΚΛΑΔΟΣ ΣΤΑΤΙΣΤΙΚΗΣ</t>
  </si>
  <si>
    <t>% μεταβολής στον αρ. ατόμων 2009/2008</t>
  </si>
  <si>
    <t>% μεταβολής στον αρ. ατόμων 2010/2009</t>
  </si>
  <si>
    <t>% μεταβολής στον αρ. ατόμων 2011/2010</t>
  </si>
  <si>
    <t>Εληνοκύπριοι και άλλοι</t>
  </si>
  <si>
    <t>Κοινοτικοί</t>
  </si>
  <si>
    <t xml:space="preserve">Τουρκοκύπριοι </t>
  </si>
  <si>
    <t>Σύνολο</t>
  </si>
  <si>
    <t xml:space="preserve">Αλλοδαποί </t>
  </si>
  <si>
    <t>*  Στον αριθμό των Αλλοδαπών και Κοινοτικών πιθανώς να περιλαμβάνονται και άτομα που είναι μόνιμοι κάτοικοι Κύπρου και προέρχονται από τρίτες χώρες ή χώρες του ευρύτερου Ευρωπαϊκού Οικονομικού Χώρου αντίστοιχα.</t>
  </si>
  <si>
    <t>ΜΕΣΟΣ ΜΗΝΙΑΟΣ ΑΡΙΘΜΟΣ Α΄ ΕΞΑΜΗΝΟΥ</t>
  </si>
  <si>
    <t>ΜΕΣΟΣ ΜΗΝΙΑΙΟΣ ΑΡΙΘΜΟΣ Β΄ ΕΞΑΜΗΝΟΥ</t>
  </si>
  <si>
    <t>ΜΕΣΟΣ ΜΗΝΙΑΙΟΣ  ΑΡΙΘΜΟΣ ΧΡΟΝΟΥ</t>
  </si>
  <si>
    <t>ΜΕΣΟΣ ΜΗΝΙΑΙΟΣ ΑΡΙΘΜΟΣ Α΄ ΕΞΑΜΗΝΟΥ</t>
  </si>
  <si>
    <t>ΜΕΣΟΣ ΜΗΝΙΑΙΟΣ ΑΡΙΘΜΟΣ ΧΡΟΝΟΥ</t>
  </si>
  <si>
    <t xml:space="preserve">ΜΕΣΟΣ ΜΗΝΙΑΙΟΣ ΑΡΙΘΜΟΣ Β΄ ΕΞΑΜΗΝΟΥ </t>
  </si>
  <si>
    <t>ΜΕΣΟΣ ΜΗΝΙΑΙΟΣ ΑΡΙΘΜΟΣ ΕΤΟΥΣ</t>
  </si>
  <si>
    <t xml:space="preserve">ΜΕΣΟΣ ΜΗΝΙΑΙΟΣ ΑΡΙΘΜΟΣ Α΄ ΕΞΑΜΗΝΟΥ </t>
  </si>
  <si>
    <r>
      <t xml:space="preserve">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</t>
    </r>
  </si>
  <si>
    <t>ΑΤΟΜΩΝ</t>
  </si>
  <si>
    <t>ΜΕΣΟΣ ΜΗΝΙΑΙΟΣ ΑΡΙΘΜΟΣ ΑΤΟΜΩΝ ΚΑΙ ΣΥΝΟΛΙΚΟ ΠΟΣΟ ΠΛΗΡΩΜΗΣ Α΄ ΕΞΑΜΗΝΟΥ</t>
  </si>
  <si>
    <t>ΜΕΣΟΣ ΜΗΝΙΑΙΟΣ ΑΡΙΘΜΟΣ ΑΤΟΜΩΝ ΚΑΙ ΣΥΝΟΛΙΚΟ ΠΟΣΟ ΠΛΗΡΩΜΗΣ Β΄ ΕΞΑΜΗΝΟΥ</t>
  </si>
  <si>
    <t xml:space="preserve">                                           ΜΕΣΟΣ ΜΗΝΙΑΙΟΣ ΑΡΙΘΜΟΣ ΑΤΟΜΩΝ ΚΑΙ ΣΥΝΟΛΙΚΟ ΠΟΣΟ ΠΛΗΡΩΜΗΣ ΕΤΟΥΣ €</t>
  </si>
  <si>
    <t>2. Μέρος του ποσού αφορά αναδρομικές πληρωμές.</t>
  </si>
  <si>
    <t xml:space="preserve"> * Το ποσό πληρωμής αφορά τη μηνιαία δαπάνη του επιδόματος ανεργίας και όχι το ποσό που καταβλήθηκε στα πιο πάνω άτομα, για τους πιο κάτω λόγους:</t>
  </si>
  <si>
    <t>1. Οι δικαιούχοι δεν πληρώνονται απαραίτητα τον αντίστοιχο μήνα αναφοράς,</t>
  </si>
  <si>
    <t>ΕΤΗΣΙΑ ΔΑΠΑΝΗ €**</t>
  </si>
  <si>
    <t>ΠΟΣΟ ΠΛΗΡΩΜΗΣ* €</t>
  </si>
  <si>
    <t>% μεταβολής του συνόλου 2011/2010</t>
  </si>
  <si>
    <t>% μεταβολής στον αρ. ατόμων 2012/2011</t>
  </si>
  <si>
    <t>ΚΑΤΗΓΟΡΙΑ ΑΝΕΡΓΩΝ</t>
  </si>
  <si>
    <t>A/A</t>
  </si>
  <si>
    <t xml:space="preserve"> ΟΙΚΟΝΟΜΙΚΗ ΔΡΑΣΤΗΡΙΟΤΗΤΑ (NACE 2)</t>
  </si>
  <si>
    <t xml:space="preserve">      ΑΝΑΣΤΟΛΕΣ </t>
  </si>
  <si>
    <t xml:space="preserve">    ΤΕΡΜΑΤΙΣΜΟΙ </t>
  </si>
  <si>
    <t>ΜΕΤΑΠΟΙΗΣΗΣ</t>
  </si>
  <si>
    <t>ΤΟΥΡΙΣΤΙΚΗΣ ΒΙΟΜΗΧΑΝΙΑΣ</t>
  </si>
  <si>
    <t>ΑΛΛΟΙ</t>
  </si>
  <si>
    <t>Γεωργία, δασοκομία και αλιεία</t>
  </si>
  <si>
    <t>Ορυχεία και λατομεία</t>
  </si>
  <si>
    <t>Μεταποίηση</t>
  </si>
  <si>
    <t>Παροχή ηλεκτρικού ρεύματος, φυσικού αερίου, ατμού και κλιματισμού</t>
  </si>
  <si>
    <t>Παροχή νερού, επεξεργασία λυμάτων, διαχείριση αποβλήτων και δραστηριότητες εξυγίανσης</t>
  </si>
  <si>
    <t>Κατασκευές</t>
  </si>
  <si>
    <t>Χονδρικό και λιανικό εμπόριο.  Επισκευή μηχανοκίνητων οχημάτων και μοτοσυκλετών</t>
  </si>
  <si>
    <t>Μεταφορά και αποθήκευση</t>
  </si>
  <si>
    <t>Δραστηριότητες υπηρεσιών παροχής καταλύματος και υπηρεσιών εστίασης</t>
  </si>
  <si>
    <t>Ενημέρωση και επικοινωνία</t>
  </si>
  <si>
    <t>Χρηματοπιστωτικές και ασφαλιστικές δραστηριότητες</t>
  </si>
  <si>
    <t>Διαχείριση ακίνητης περιουσίας</t>
  </si>
  <si>
    <t>Επαγγελματικές, επιστημονικές και τεχνικές δραστηριότητες</t>
  </si>
  <si>
    <t>Διοικητικές και υποστηρικτικές δραστηριότητες</t>
  </si>
  <si>
    <t>Δημόσια διοίκηση και άμυνα. Υποχρεωτική κοινωνική ασφάλιση</t>
  </si>
  <si>
    <t>Εκπαίδευση</t>
  </si>
  <si>
    <t>Δραστηριότητες σχετικές με την ανθρώπινη υγεία και την κοινωνική μέριμνα</t>
  </si>
  <si>
    <t>Τέχνες, διασκέδαση και ψυχαγωγία</t>
  </si>
  <si>
    <t>Άλλες δραστηριότητες παροχής υπηρεσιών</t>
  </si>
  <si>
    <t>Δραστηριότητες νοικοκυριών ως εργοδοτών. Μη διαφοροποιημένες δραστηριότητες νοικοκυριών που αφορούν την παραγωγή αγαθών - και υπηρεσιών - για ιδία χρήση</t>
  </si>
  <si>
    <t>Δραστηριότητες ετερόδικων οργανισμών και φορέων</t>
  </si>
  <si>
    <t>Μη δηλωμένη οικονομική δραστηριότητα</t>
  </si>
  <si>
    <t>Λιμενεργάτες</t>
  </si>
  <si>
    <t>ΥΠΗΡΕΣΙΕΣ ΚΟΙΝΩΝΙΚΩΝ ΑΣΦΑΛΙΣΕΩΝ</t>
  </si>
  <si>
    <t>% μεταβολής του συνόλου 2012/2011</t>
  </si>
  <si>
    <t>% μεταβολής στον αρ. ατόμων 2013/2012</t>
  </si>
  <si>
    <t xml:space="preserve">Ποσοστό επί του συνόλου </t>
  </si>
  <si>
    <r>
      <t xml:space="preserve"> ΠΙΝΑΚΑΣ ΣΤΟΝ ΟΠΟΙΟ ΦΑΙΝΕΤΑΙ Ο ΑΡΙΘΜΟΣ ΤΩΝ ΠΡΟΣΩΠΩΝ ΠΟΥ </t>
    </r>
    <r>
      <rPr>
        <b/>
        <sz val="10"/>
        <rFont val="Arial"/>
        <family val="2"/>
        <charset val="161"/>
      </rPr>
      <t xml:space="preserve">ΑΠΟΤΑΘΗΚΑΝ  </t>
    </r>
    <r>
      <rPr>
        <sz val="10"/>
        <rFont val="Arial"/>
        <family val="2"/>
        <charset val="161"/>
      </rPr>
      <t xml:space="preserve">                                    </t>
    </r>
  </si>
  <si>
    <t>ΠΙΝΑΚΑΣ 1</t>
  </si>
  <si>
    <t>ΠΙΝΑΚΑΣ 2</t>
  </si>
  <si>
    <t>ΠΙΝΑΚΑΣ 3</t>
  </si>
  <si>
    <t>ΠΙΝΑΚΑΣ 4</t>
  </si>
  <si>
    <t>ΠΙΝΑΚΑΣ 5</t>
  </si>
  <si>
    <t>ΠΙΝΑΚΑΣ 6</t>
  </si>
  <si>
    <t xml:space="preserve">ΠΙΝΑΚΑΣ ΣΤΟΝ ΟΠΟΙΟ ΦΑΙΝΕΤΑΙ Ο ΑΡΙΘΜΟΣ ΤΩΝ ΠΡΟΣΩΠΩΝ ΠΟΥ ΑΠΟΤΑΘΗΚΑΝ </t>
  </si>
  <si>
    <t>ΠΙΝΑΚΑΣ 7.7</t>
  </si>
  <si>
    <t>ΠΙΝΑΚΑΣ 7.6</t>
  </si>
  <si>
    <t>ΠΙΝΑΚΑΣ 7.1</t>
  </si>
  <si>
    <t>ΠΙΝΑΚΑΣ 7.2</t>
  </si>
  <si>
    <t>ΠΙΝΑΚΑΣ 7.3</t>
  </si>
  <si>
    <t>ΠΙΝΑΚΑΣ 7.4</t>
  </si>
  <si>
    <t>ΠΙΝΑΚΑΣ 7.5</t>
  </si>
  <si>
    <t>ΠΙΝΑΚΑΣ 7.8</t>
  </si>
  <si>
    <t>ΠΙΝΑΚΑΣ 7.9</t>
  </si>
  <si>
    <t>ΠΙΝΑΚΑΣ 7.10</t>
  </si>
  <si>
    <t>ΠΙΝΑΚΑΣ 7.11</t>
  </si>
  <si>
    <t>ΠΟΣΟΣΤΟ ΕΠΙ ΤΟΥ ΣΥΝΟΛΟΥ</t>
  </si>
  <si>
    <t>% μεταβολής στον αρ. ατόμων 2014/2013</t>
  </si>
  <si>
    <t>% μεταβολής στον αρ. ατόμων 2015/2014</t>
  </si>
  <si>
    <t>ΠΟΣΟΣΤΙΑΙΑ ΑΥΞΗΣΗ</t>
  </si>
  <si>
    <t>ΓΕΝΙΚΟ ΣΥΝΟΛΟ</t>
  </si>
  <si>
    <t>% μεταβολής στον αρ. ατόμων 2016/2015</t>
  </si>
  <si>
    <t>% μεταβολής του συνόλου 2016/2015</t>
  </si>
  <si>
    <t xml:space="preserve">**  Η ετήσια δαπάνη είναι σύμφωνα με τους τελικούς λογαριασμούς του Ταμείου Κοινωνικών Ασφαλίσεων. Το ετήσιο ποσό του 2015 - 2016 διαφέρει από τη μηνιαία δαπάνη γιατί περιλαμβάνει και τις αποδόσεις των δαπανών ανεργίας σε / από άλλες χώρες της Ε.Ε. με βάση τον Κανονισμό. </t>
  </si>
  <si>
    <t>Unemployment benefit by economic activity 2016 (Jan-Dec)</t>
  </si>
  <si>
    <t xml:space="preserve">    </t>
  </si>
  <si>
    <t>ΠΙΝΑΚΑΣ 7.12</t>
  </si>
  <si>
    <t>% μεταβολής του συνόλου 2017/2016</t>
  </si>
  <si>
    <t>UNEMPLOYMENT BENEFIT Y2016-2017</t>
  </si>
  <si>
    <t>% μεταβολής 2017/2016</t>
  </si>
  <si>
    <r>
      <t xml:space="preserve"> ΠΙΝΑΚΑΣ ΣΤΟΝ ΟΠΟΙΟ ΦΑΙΝΕΤΑΙ Ο ΑΡΙΘΜΟΣ ΤΩΝ ΑΤΟΜΩΝ ΠΟΥ </t>
    </r>
    <r>
      <rPr>
        <b/>
        <sz val="10"/>
        <rFont val="Arial"/>
        <family val="2"/>
        <charset val="161"/>
      </rPr>
      <t>ΑΠΟΤΑΘΗΚΑΝ</t>
    </r>
    <r>
      <rPr>
        <sz val="10"/>
        <rFont val="Arial"/>
        <family val="2"/>
        <charset val="161"/>
      </rPr>
      <t xml:space="preserve"> ΓΙΑ ΕΠΙΔΟΜΑ ΑΝΕΡΓΙΑΣ ΚΑΤΑ ΜΗΝΑ ΚΑΙ ΧΡΟΝΟ ΓΙΑ ΤΑ ΧΡΟΝΙΑ 1995 - 2017</t>
    </r>
  </si>
  <si>
    <t>% μεταβολής στον αρ. ατόμων 2017/2016</t>
  </si>
  <si>
    <t xml:space="preserve">Πίνακας στον οποίο φαίνεται ο αριθμός των ατόμων που αποτάθηκαν για επίδομα ανεργίας κατά οικονομική δραστηριότητα και κατάσταση ανέργου, τον Ιανουάριο του 2017 </t>
  </si>
  <si>
    <t>Unemployment benefit by economic activity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</si>
  <si>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Φεβρουάριο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</si>
  <si>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Μάρτιο του 2017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</si>
  <si>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Απρίλιο του 2017</t>
  </si>
  <si>
    <t xml:space="preserve">         Πίνακας στον οποίο φαίνεται ο αριθμός των ατόμων που αποτάθηκαν για επίδομα ανεργίας κατά οικονομική δραστηριότητα και κατάσταση ανέργου, τον Μάϊο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</si>
  <si>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Ιούνιο του 2017</t>
  </si>
  <si>
    <t>Unemployment benefit by economic activity 2017 (Jan-June)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</si>
  <si>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Ιούλιο του 2017</t>
  </si>
  <si>
    <t>Unemployment benefit by economic activity 2017 (Jan-Dec)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</si>
  <si>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Αύγουστο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</si>
  <si>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Σεπτέμβριο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</si>
  <si>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τον Οκτώβριο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</si>
  <si>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Νοέμβριο του 2017</t>
  </si>
  <si>
    <t>Πίνακας στον οποίο φαίνεται ο αριθμός των ατόμων που αποτάθηκαν για επίδομα ανεργίας κατά οικονομική δραστηριότητα και κατάσταση ανέργου, το Δεκέμβριο του 2017</t>
  </si>
  <si>
    <t xml:space="preserve">      ΓΙΑ ΕΠΙΔΟΜΑ ΑΝΕΡΓΙΑΣ ΤΟ 2017 ΚΑΤΑ ΕΠΑΡΧΙΑ, ΦΥΛΟ ΚΑΙ ΜΗΝΑ  </t>
  </si>
  <si>
    <t>ΓΙΑ ΕΠΙΔΟΜΑ ΑΝΕΡΓΙΑΣ ΓΙΑ ΤΑ ΧΡΟΝΙΑ 2016 ΚΑΙ 2017 ΚΑΤΑ ΕΠΑΡΧΙΑ ΚΑΙ ΜΗΝΑ</t>
  </si>
  <si>
    <t>ΓΙΑ ΕΠΙΔΟΜΑ ΑΝΕΡΓΙΑΣ ΚΑΤΑ ΦΥΛΟ ΚΑΙ ΜΗΝΑ ΓΙΑ ΤΑ ΧΡΟΝΙΑ 2016 ΚΑΙ 2017</t>
  </si>
  <si>
    <r>
      <t xml:space="preserve"> ΠΙΝΑΚΑΣ ΣΤΟΝ ΟΠΟΙΟ ΦΑΙΝΕΤΑΙ Ο ΑΡΙΘΜΟΣ </t>
    </r>
    <r>
      <rPr>
        <b/>
        <sz val="10"/>
        <rFont val="Arial"/>
        <family val="2"/>
        <charset val="161"/>
      </rPr>
      <t xml:space="preserve">ΤΩΝ ΔΙΚΑΙΟΥΧΩΝ </t>
    </r>
    <r>
      <rPr>
        <sz val="10"/>
        <rFont val="Arial"/>
        <family val="2"/>
        <charset val="161"/>
      </rPr>
      <t>ΕΠΙΔΟΜΑΤΟΣ ΑΝΕΡΓΙΑΣ ΑΠΟ ΤΟ ΤΑΜΕΙΟ ΚΟΙΝΩΝΙΚΩΝ ΑΣΦΑΛΙΣΕΩΝ, ΚΑΤΑ ΜΗΝΑ, ΚΟΙΝΟΤΗΤΑ ΚΑΙ ΚΑΤΑ ΧΡΟΝΟ ΓΙΑ ΤΑ ΧΡΟΝΙΑ 2016 -2017</t>
    </r>
  </si>
  <si>
    <t>UNEMPLOYMENT BENEFIT Y2011-2017</t>
  </si>
  <si>
    <t>ΠΙΝΑΚΑΣ ΣΤΟΝ ΟΠΟΙΟ ΦΑΙΝΕΤΑΙ Ο ΑΡΙΘΜΟΣ ΤΩΝ ΔΙΚΑΙΟΥΧΩΝ ΕΠΙΔΟΜΑΤΟΣ ΑΝΕΡΓΙΑΣ ΚΑΙ ΤΟ ΠΟΣΟ ΠΛΗΡΩΜΗΣ* ΚΑΤΑ ΜΗΝΑ ΓΙΑ ΤΑ ΧΡΟΝΙΑ 2011 - 2017</t>
  </si>
  <si>
    <t xml:space="preserve"> </t>
  </si>
</sst>
</file>

<file path=xl/styles.xml><?xml version="1.0" encoding="utf-8"?>
<styleSheet xmlns="http://schemas.openxmlformats.org/spreadsheetml/2006/main">
  <numFmts count="7">
    <numFmt numFmtId="41" formatCode="_-* #,##0\ _€_-;\-* #,##0\ _€_-;_-* &quot;-&quot;\ _€_-;_-@_-"/>
    <numFmt numFmtId="164" formatCode="_-* #,##0\ _Δ_ρ_χ_-;\-* #,##0\ _Δ_ρ_χ_-;_-* &quot;-&quot;\ _Δ_ρ_χ_-;_-@_-"/>
    <numFmt numFmtId="165" formatCode="0.0%"/>
    <numFmt numFmtId="166" formatCode="[$-408]d\-mmm\-yy;@"/>
    <numFmt numFmtId="167" formatCode="[$-408]dd\-mmm\-yy;@"/>
    <numFmt numFmtId="168" formatCode="[$€-2]\ #,##0;[Red]\-[$€-2]\ #,##0"/>
    <numFmt numFmtId="169" formatCode="0.0"/>
  </numFmts>
  <fonts count="27">
    <font>
      <sz val="10"/>
      <name val="Arial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8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u/>
      <sz val="9"/>
      <name val="Arial"/>
      <family val="2"/>
      <charset val="161"/>
    </font>
    <font>
      <b/>
      <u/>
      <sz val="12"/>
      <name val="Arial"/>
      <family val="2"/>
    </font>
    <font>
      <sz val="11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5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4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Border="1"/>
    <xf numFmtId="165" fontId="2" fillId="0" borderId="6" xfId="2" applyNumberFormat="1" applyFont="1" applyBorder="1"/>
    <xf numFmtId="0" fontId="2" fillId="0" borderId="6" xfId="0" applyFont="1" applyBorder="1"/>
    <xf numFmtId="165" fontId="2" fillId="0" borderId="0" xfId="2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166" fontId="8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/>
    <xf numFmtId="164" fontId="13" fillId="0" borderId="26" xfId="0" applyNumberFormat="1" applyFont="1" applyBorder="1"/>
    <xf numFmtId="0" fontId="13" fillId="0" borderId="0" xfId="0" applyFont="1"/>
    <xf numFmtId="166" fontId="13" fillId="0" borderId="0" xfId="0" applyNumberFormat="1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0" fillId="0" borderId="0" xfId="0" applyFont="1"/>
    <xf numFmtId="14" fontId="0" fillId="0" borderId="0" xfId="0" applyNumberFormat="1" applyAlignment="1">
      <alignment horizontal="left"/>
    </xf>
    <xf numFmtId="0" fontId="17" fillId="0" borderId="0" xfId="0" applyFont="1"/>
    <xf numFmtId="0" fontId="13" fillId="0" borderId="0" xfId="0" applyFont="1" applyBorder="1" applyAlignment="1">
      <alignment horizontal="left" wrapText="1"/>
    </xf>
    <xf numFmtId="0" fontId="5" fillId="0" borderId="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Alignment="1"/>
    <xf numFmtId="3" fontId="14" fillId="0" borderId="0" xfId="0" applyNumberFormat="1" applyFont="1" applyBorder="1" applyAlignment="1">
      <alignment wrapText="1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164" fontId="14" fillId="0" borderId="0" xfId="0" applyNumberFormat="1" applyFont="1" applyBorder="1" applyAlignment="1"/>
    <xf numFmtId="0" fontId="17" fillId="0" borderId="0" xfId="0" applyFont="1" applyBorder="1" applyAlignment="1">
      <alignment horizontal="center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1" fontId="11" fillId="0" borderId="34" xfId="0" applyNumberFormat="1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1" fontId="11" fillId="0" borderId="34" xfId="0" applyNumberFormat="1" applyFont="1" applyBorder="1" applyAlignment="1">
      <alignment horizontal="right"/>
    </xf>
    <xf numFmtId="164" fontId="13" fillId="0" borderId="9" xfId="0" applyNumberFormat="1" applyFont="1" applyBorder="1"/>
    <xf numFmtId="164" fontId="13" fillId="0" borderId="9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164" fontId="2" fillId="0" borderId="9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7" xfId="0" applyNumberFormat="1" applyFont="1" applyBorder="1"/>
    <xf numFmtId="164" fontId="14" fillId="0" borderId="9" xfId="0" applyNumberFormat="1" applyFont="1" applyBorder="1"/>
    <xf numFmtId="164" fontId="14" fillId="0" borderId="9" xfId="0" applyNumberFormat="1" applyFont="1" applyBorder="1" applyAlignment="1">
      <alignment horizontal="center"/>
    </xf>
    <xf numFmtId="164" fontId="2" fillId="0" borderId="10" xfId="0" applyNumberFormat="1" applyFont="1" applyBorder="1"/>
    <xf numFmtId="164" fontId="2" fillId="0" borderId="10" xfId="0" applyNumberFormat="1" applyFont="1" applyBorder="1" applyAlignment="1">
      <alignment horizontal="center"/>
    </xf>
    <xf numFmtId="164" fontId="3" fillId="0" borderId="34" xfId="0" applyNumberFormat="1" applyFont="1" applyBorder="1" applyAlignment="1">
      <alignment horizontal="left"/>
    </xf>
    <xf numFmtId="164" fontId="3" fillId="0" borderId="27" xfId="0" applyNumberFormat="1" applyFont="1" applyBorder="1" applyAlignment="1">
      <alignment horizontal="left"/>
    </xf>
    <xf numFmtId="164" fontId="13" fillId="0" borderId="10" xfId="0" applyNumberFormat="1" applyFont="1" applyBorder="1"/>
    <xf numFmtId="0" fontId="2" fillId="0" borderId="26" xfId="0" applyFont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" fillId="0" borderId="15" xfId="0" applyFont="1" applyBorder="1"/>
    <xf numFmtId="0" fontId="2" fillId="0" borderId="11" xfId="0" applyFont="1" applyBorder="1"/>
    <xf numFmtId="164" fontId="2" fillId="0" borderId="45" xfId="0" applyNumberFormat="1" applyFont="1" applyBorder="1"/>
    <xf numFmtId="164" fontId="3" fillId="0" borderId="46" xfId="0" applyNumberFormat="1" applyFont="1" applyBorder="1" applyAlignment="1">
      <alignment horizontal="left"/>
    </xf>
    <xf numFmtId="164" fontId="2" fillId="0" borderId="6" xfId="0" applyNumberFormat="1" applyFont="1" applyBorder="1"/>
    <xf numFmtId="165" fontId="0" fillId="0" borderId="26" xfId="0" applyNumberFormat="1" applyBorder="1"/>
    <xf numFmtId="165" fontId="11" fillId="0" borderId="26" xfId="0" applyNumberFormat="1" applyFont="1" applyBorder="1"/>
    <xf numFmtId="0" fontId="17" fillId="0" borderId="9" xfId="0" applyFont="1" applyBorder="1" applyAlignment="1">
      <alignment horizontal="center"/>
    </xf>
    <xf numFmtId="164" fontId="2" fillId="0" borderId="26" xfId="0" applyNumberFormat="1" applyFont="1" applyBorder="1"/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66" fontId="13" fillId="0" borderId="0" xfId="0" applyNumberFormat="1" applyFont="1" applyAlignment="1"/>
    <xf numFmtId="1" fontId="4" fillId="0" borderId="3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3" fillId="0" borderId="34" xfId="0" applyNumberFormat="1" applyFont="1" applyBorder="1" applyAlignment="1">
      <alignment horizontal="center"/>
    </xf>
    <xf numFmtId="0" fontId="12" fillId="0" borderId="0" xfId="0" applyFont="1"/>
    <xf numFmtId="164" fontId="2" fillId="0" borderId="14" xfId="0" applyNumberFormat="1" applyFont="1" applyBorder="1"/>
    <xf numFmtId="0" fontId="3" fillId="0" borderId="10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/>
    </xf>
    <xf numFmtId="164" fontId="3" fillId="0" borderId="28" xfId="0" applyNumberFormat="1" applyFont="1" applyBorder="1" applyAlignment="1">
      <alignment horizontal="left"/>
    </xf>
    <xf numFmtId="164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26" xfId="2" applyNumberFormat="1" applyFont="1" applyBorder="1" applyAlignment="1">
      <alignment horizontal="center"/>
    </xf>
    <xf numFmtId="164" fontId="2" fillId="0" borderId="40" xfId="0" applyNumberFormat="1" applyFont="1" applyBorder="1"/>
    <xf numFmtId="164" fontId="13" fillId="0" borderId="40" xfId="0" applyNumberFormat="1" applyFont="1" applyBorder="1"/>
    <xf numFmtId="0" fontId="3" fillId="0" borderId="17" xfId="0" applyFont="1" applyBorder="1" applyAlignment="1">
      <alignment horizontal="center" vertical="center" wrapText="1"/>
    </xf>
    <xf numFmtId="164" fontId="2" fillId="0" borderId="41" xfId="0" applyNumberFormat="1" applyFont="1" applyBorder="1"/>
    <xf numFmtId="164" fontId="2" fillId="0" borderId="55" xfId="0" applyNumberFormat="1" applyFont="1" applyBorder="1"/>
    <xf numFmtId="164" fontId="3" fillId="0" borderId="47" xfId="0" applyNumberFormat="1" applyFont="1" applyBorder="1" applyAlignment="1">
      <alignment horizontal="left"/>
    </xf>
    <xf numFmtId="10" fontId="17" fillId="0" borderId="30" xfId="1" applyNumberFormat="1" applyBorder="1"/>
    <xf numFmtId="10" fontId="17" fillId="0" borderId="26" xfId="1" applyNumberFormat="1" applyBorder="1"/>
    <xf numFmtId="10" fontId="17" fillId="0" borderId="48" xfId="1" applyNumberFormat="1" applyBorder="1"/>
    <xf numFmtId="10" fontId="11" fillId="0" borderId="27" xfId="1" applyNumberFormat="1" applyFont="1" applyBorder="1"/>
    <xf numFmtId="1" fontId="14" fillId="0" borderId="34" xfId="0" applyNumberFormat="1" applyFont="1" applyBorder="1" applyAlignment="1">
      <alignment wrapText="1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4" fillId="0" borderId="34" xfId="0" applyNumberFormat="1" applyFont="1" applyBorder="1" applyAlignment="1">
      <alignment horizontal="right"/>
    </xf>
    <xf numFmtId="1" fontId="3" fillId="0" borderId="34" xfId="0" applyNumberFormat="1" applyFont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/>
    <xf numFmtId="10" fontId="0" fillId="0" borderId="26" xfId="0" applyNumberForma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left"/>
    </xf>
    <xf numFmtId="164" fontId="2" fillId="0" borderId="19" xfId="0" applyNumberFormat="1" applyFont="1" applyBorder="1" applyAlignment="1">
      <alignment horizontal="left"/>
    </xf>
    <xf numFmtId="164" fontId="14" fillId="0" borderId="19" xfId="0" applyNumberFormat="1" applyFont="1" applyBorder="1" applyAlignment="1">
      <alignment horizontal="left"/>
    </xf>
    <xf numFmtId="164" fontId="2" fillId="0" borderId="20" xfId="0" applyNumberFormat="1" applyFont="1" applyBorder="1" applyAlignment="1">
      <alignment horizontal="left"/>
    </xf>
    <xf numFmtId="164" fontId="3" fillId="0" borderId="39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0" fillId="0" borderId="25" xfId="0" applyBorder="1"/>
    <xf numFmtId="0" fontId="0" fillId="0" borderId="5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5" fillId="0" borderId="29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0" fillId="0" borderId="24" xfId="0" applyBorder="1"/>
    <xf numFmtId="0" fontId="0" fillId="0" borderId="23" xfId="0" applyBorder="1"/>
    <xf numFmtId="0" fontId="11" fillId="0" borderId="24" xfId="0" applyFont="1" applyBorder="1"/>
    <xf numFmtId="0" fontId="0" fillId="0" borderId="5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36" xfId="0" applyBorder="1" applyAlignment="1">
      <alignment horizontal="left"/>
    </xf>
    <xf numFmtId="10" fontId="11" fillId="0" borderId="37" xfId="1" applyNumberFormat="1" applyFont="1" applyBorder="1"/>
    <xf numFmtId="10" fontId="17" fillId="0" borderId="7" xfId="1" applyNumberFormat="1" applyBorder="1"/>
    <xf numFmtId="0" fontId="3" fillId="0" borderId="50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left"/>
    </xf>
    <xf numFmtId="0" fontId="11" fillId="0" borderId="0" xfId="0" applyFont="1" applyFill="1"/>
    <xf numFmtId="10" fontId="17" fillId="0" borderId="52" xfId="1" applyNumberFormat="1" applyBorder="1"/>
    <xf numFmtId="10" fontId="17" fillId="0" borderId="29" xfId="1" applyNumberFormat="1" applyBorder="1"/>
    <xf numFmtId="10" fontId="17" fillId="0" borderId="49" xfId="1" applyNumberFormat="1" applyBorder="1"/>
    <xf numFmtId="10" fontId="11" fillId="0" borderId="35" xfId="1" applyNumberFormat="1" applyFont="1" applyBorder="1"/>
    <xf numFmtId="10" fontId="17" fillId="0" borderId="37" xfId="1" applyNumberFormat="1" applyBorder="1"/>
    <xf numFmtId="0" fontId="0" fillId="0" borderId="30" xfId="0" applyBorder="1"/>
    <xf numFmtId="10" fontId="11" fillId="0" borderId="28" xfId="1" applyNumberFormat="1" applyFont="1" applyBorder="1"/>
    <xf numFmtId="164" fontId="2" fillId="0" borderId="50" xfId="0" applyNumberFormat="1" applyFont="1" applyBorder="1" applyAlignment="1">
      <alignment horizontal="left"/>
    </xf>
    <xf numFmtId="164" fontId="3" fillId="0" borderId="38" xfId="0" applyNumberFormat="1" applyFont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3" xfId="0" applyBorder="1" applyAlignment="1">
      <alignment horizontal="left" vertical="center" wrapText="1"/>
    </xf>
    <xf numFmtId="0" fontId="5" fillId="0" borderId="36" xfId="0" applyFont="1" applyBorder="1" applyAlignment="1">
      <alignment horizontal="left"/>
    </xf>
    <xf numFmtId="164" fontId="2" fillId="0" borderId="18" xfId="0" applyNumberFormat="1" applyFont="1" applyBorder="1" applyAlignment="1">
      <alignment horizontal="left"/>
    </xf>
    <xf numFmtId="164" fontId="2" fillId="0" borderId="57" xfId="0" applyNumberFormat="1" applyFont="1" applyBorder="1"/>
    <xf numFmtId="0" fontId="14" fillId="0" borderId="0" xfId="0" applyFont="1" applyAlignment="1">
      <alignment horizontal="center"/>
    </xf>
    <xf numFmtId="10" fontId="17" fillId="0" borderId="33" xfId="1" applyNumberFormat="1" applyBorder="1"/>
    <xf numFmtId="10" fontId="17" fillId="0" borderId="42" xfId="1" applyNumberFormat="1" applyBorder="1"/>
    <xf numFmtId="166" fontId="13" fillId="0" borderId="0" xfId="0" applyNumberFormat="1" applyFont="1" applyAlignment="1">
      <alignment horizontal="left"/>
    </xf>
    <xf numFmtId="10" fontId="17" fillId="0" borderId="44" xfId="1" applyNumberFormat="1" applyBorder="1"/>
    <xf numFmtId="166" fontId="13" fillId="0" borderId="0" xfId="0" applyNumberFormat="1" applyFont="1" applyAlignment="1">
      <alignment horizontal="left"/>
    </xf>
    <xf numFmtId="0" fontId="2" fillId="0" borderId="2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/>
    <xf numFmtId="165" fontId="2" fillId="0" borderId="27" xfId="2" applyNumberFormat="1" applyFont="1" applyBorder="1" applyAlignment="1">
      <alignment horizontal="center"/>
    </xf>
    <xf numFmtId="164" fontId="0" fillId="0" borderId="0" xfId="0" applyNumberFormat="1"/>
    <xf numFmtId="0" fontId="2" fillId="0" borderId="10" xfId="0" applyFont="1" applyBorder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165" fontId="2" fillId="0" borderId="9" xfId="2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/>
    </xf>
    <xf numFmtId="165" fontId="2" fillId="0" borderId="6" xfId="2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165" fontId="2" fillId="0" borderId="26" xfId="0" applyNumberFormat="1" applyFont="1" applyBorder="1"/>
    <xf numFmtId="165" fontId="2" fillId="0" borderId="9" xfId="2" applyNumberFormat="1" applyFont="1" applyBorder="1"/>
    <xf numFmtId="165" fontId="2" fillId="0" borderId="10" xfId="2" applyNumberFormat="1" applyFont="1" applyBorder="1"/>
    <xf numFmtId="0" fontId="3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4" fillId="0" borderId="30" xfId="0" applyFont="1" applyBorder="1" applyAlignment="1">
      <alignment horizontal="center" vertical="top" wrapText="1"/>
    </xf>
    <xf numFmtId="0" fontId="5" fillId="0" borderId="9" xfId="0" applyFont="1" applyFill="1" applyBorder="1"/>
    <xf numFmtId="165" fontId="13" fillId="0" borderId="26" xfId="0" applyNumberFormat="1" applyFont="1" applyBorder="1" applyAlignment="1">
      <alignment wrapText="1"/>
    </xf>
    <xf numFmtId="0" fontId="3" fillId="0" borderId="31" xfId="0" applyFont="1" applyBorder="1" applyAlignment="1">
      <alignment horizontal="left" vertical="center" wrapText="1"/>
    </xf>
    <xf numFmtId="165" fontId="14" fillId="0" borderId="27" xfId="0" applyNumberFormat="1" applyFont="1" applyBorder="1" applyAlignment="1">
      <alignment wrapText="1"/>
    </xf>
    <xf numFmtId="1" fontId="11" fillId="0" borderId="34" xfId="0" applyNumberFormat="1" applyFont="1" applyBorder="1" applyAlignment="1">
      <alignment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3" fillId="0" borderId="8" xfId="0" applyFont="1" applyBorder="1"/>
    <xf numFmtId="165" fontId="5" fillId="0" borderId="9" xfId="0" applyNumberFormat="1" applyFont="1" applyBorder="1" applyAlignment="1">
      <alignment wrapText="1"/>
    </xf>
    <xf numFmtId="0" fontId="0" fillId="0" borderId="8" xfId="0" applyBorder="1"/>
    <xf numFmtId="0" fontId="0" fillId="0" borderId="9" xfId="0" applyBorder="1"/>
    <xf numFmtId="165" fontId="13" fillId="0" borderId="9" xfId="2" applyNumberFormat="1" applyFont="1" applyBorder="1" applyAlignment="1">
      <alignment horizontal="center"/>
    </xf>
    <xf numFmtId="0" fontId="13" fillId="0" borderId="11" xfId="0" applyFont="1" applyBorder="1"/>
    <xf numFmtId="165" fontId="5" fillId="0" borderId="10" xfId="0" applyNumberFormat="1" applyFont="1" applyBorder="1" applyAlignment="1">
      <alignment wrapText="1"/>
    </xf>
    <xf numFmtId="0" fontId="13" fillId="0" borderId="15" xfId="0" applyFont="1" applyBorder="1"/>
    <xf numFmtId="165" fontId="5" fillId="0" borderId="6" xfId="0" applyNumberFormat="1" applyFont="1" applyBorder="1" applyAlignment="1">
      <alignment wrapText="1"/>
    </xf>
    <xf numFmtId="0" fontId="14" fillId="0" borderId="31" xfId="0" applyFont="1" applyBorder="1" applyAlignment="1">
      <alignment horizontal="left" vertical="center" wrapText="1"/>
    </xf>
    <xf numFmtId="165" fontId="4" fillId="0" borderId="34" xfId="0" applyNumberFormat="1" applyFont="1" applyBorder="1" applyAlignment="1">
      <alignment wrapText="1"/>
    </xf>
    <xf numFmtId="165" fontId="5" fillId="0" borderId="34" xfId="0" applyNumberFormat="1" applyFont="1" applyBorder="1" applyAlignment="1">
      <alignment wrapText="1"/>
    </xf>
    <xf numFmtId="165" fontId="5" fillId="0" borderId="34" xfId="0" applyNumberFormat="1" applyFont="1" applyFill="1" applyBorder="1" applyAlignment="1">
      <alignment wrapText="1"/>
    </xf>
    <xf numFmtId="1" fontId="14" fillId="0" borderId="34" xfId="0" applyNumberFormat="1" applyFont="1" applyBorder="1" applyAlignment="1">
      <alignment horizontal="center"/>
    </xf>
    <xf numFmtId="0" fontId="13" fillId="0" borderId="13" xfId="0" applyFont="1" applyBorder="1"/>
    <xf numFmtId="0" fontId="14" fillId="0" borderId="8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9" xfId="0" applyFont="1" applyBorder="1"/>
    <xf numFmtId="0" fontId="15" fillId="0" borderId="9" xfId="0" applyFont="1" applyBorder="1" applyAlignment="1">
      <alignment horizontal="center"/>
    </xf>
    <xf numFmtId="0" fontId="10" fillId="0" borderId="8" xfId="0" applyFont="1" applyBorder="1"/>
    <xf numFmtId="164" fontId="18" fillId="0" borderId="9" xfId="0" applyNumberFormat="1" applyFont="1" applyBorder="1"/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/>
    <xf numFmtId="0" fontId="10" fillId="0" borderId="11" xfId="0" applyFont="1" applyBorder="1"/>
    <xf numFmtId="164" fontId="18" fillId="0" borderId="10" xfId="0" applyNumberFormat="1" applyFont="1" applyBorder="1"/>
    <xf numFmtId="165" fontId="13" fillId="0" borderId="10" xfId="2" applyNumberFormat="1" applyFont="1" applyBorder="1" applyAlignment="1">
      <alignment horizontal="center"/>
    </xf>
    <xf numFmtId="0" fontId="10" fillId="0" borderId="15" xfId="0" applyFont="1" applyBorder="1"/>
    <xf numFmtId="164" fontId="18" fillId="0" borderId="6" xfId="0" applyNumberFormat="1" applyFont="1" applyBorder="1"/>
    <xf numFmtId="164" fontId="13" fillId="0" borderId="6" xfId="0" applyNumberFormat="1" applyFont="1" applyBorder="1"/>
    <xf numFmtId="165" fontId="13" fillId="0" borderId="6" xfId="2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>
      <alignment horizontal="center"/>
    </xf>
    <xf numFmtId="0" fontId="15" fillId="0" borderId="31" xfId="0" applyFont="1" applyBorder="1" applyAlignment="1">
      <alignment wrapText="1"/>
    </xf>
    <xf numFmtId="164" fontId="18" fillId="0" borderId="34" xfId="0" applyNumberFormat="1" applyFont="1" applyBorder="1" applyAlignment="1">
      <alignment horizontal="center"/>
    </xf>
    <xf numFmtId="164" fontId="13" fillId="0" borderId="34" xfId="0" applyNumberFormat="1" applyFont="1" applyBorder="1" applyAlignment="1">
      <alignment horizontal="center"/>
    </xf>
    <xf numFmtId="164" fontId="14" fillId="0" borderId="34" xfId="0" applyNumberFormat="1" applyFont="1" applyBorder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5" fontId="3" fillId="0" borderId="34" xfId="2" applyNumberFormat="1" applyFont="1" applyBorder="1" applyAlignment="1">
      <alignment horizontal="center"/>
    </xf>
    <xf numFmtId="1" fontId="3" fillId="0" borderId="34" xfId="0" applyNumberFormat="1" applyFont="1" applyFill="1" applyBorder="1" applyAlignment="1">
      <alignment horizontal="center"/>
    </xf>
    <xf numFmtId="165" fontId="2" fillId="0" borderId="34" xfId="2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64" fontId="18" fillId="0" borderId="34" xfId="0" applyNumberFormat="1" applyFont="1" applyBorder="1"/>
    <xf numFmtId="164" fontId="13" fillId="0" borderId="34" xfId="0" applyNumberFormat="1" applyFont="1" applyBorder="1"/>
    <xf numFmtId="164" fontId="14" fillId="0" borderId="34" xfId="0" applyNumberFormat="1" applyFont="1" applyBorder="1" applyAlignment="1"/>
    <xf numFmtId="164" fontId="14" fillId="0" borderId="34" xfId="0" applyNumberFormat="1" applyFont="1" applyBorder="1"/>
    <xf numFmtId="1" fontId="2" fillId="0" borderId="34" xfId="0" applyNumberFormat="1" applyFont="1" applyBorder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4" xfId="0" applyFont="1" applyBorder="1" applyAlignment="1">
      <alignment wrapText="1"/>
    </xf>
    <xf numFmtId="168" fontId="14" fillId="0" borderId="34" xfId="0" applyNumberFormat="1" applyFont="1" applyBorder="1" applyAlignment="1">
      <alignment horizontal="center" wrapText="1"/>
    </xf>
    <xf numFmtId="3" fontId="14" fillId="0" borderId="34" xfId="0" applyNumberFormat="1" applyFont="1" applyBorder="1" applyAlignment="1">
      <alignment wrapText="1"/>
    </xf>
    <xf numFmtId="0" fontId="13" fillId="0" borderId="3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4" xfId="0" applyFont="1" applyBorder="1"/>
    <xf numFmtId="164" fontId="2" fillId="0" borderId="9" xfId="0" applyNumberFormat="1" applyFont="1" applyBorder="1" applyAlignment="1">
      <alignment horizontal="left"/>
    </xf>
    <xf numFmtId="164" fontId="14" fillId="0" borderId="9" xfId="0" applyNumberFormat="1" applyFont="1" applyBorder="1" applyAlignment="1">
      <alignment horizontal="left"/>
    </xf>
    <xf numFmtId="164" fontId="3" fillId="0" borderId="17" xfId="0" applyNumberFormat="1" applyFont="1" applyBorder="1" applyAlignment="1">
      <alignment horizontal="left"/>
    </xf>
    <xf numFmtId="10" fontId="3" fillId="0" borderId="37" xfId="0" applyNumberFormat="1" applyFont="1" applyFill="1" applyBorder="1" applyAlignment="1">
      <alignment horizontal="center"/>
    </xf>
    <xf numFmtId="0" fontId="0" fillId="0" borderId="13" xfId="0" applyBorder="1"/>
    <xf numFmtId="0" fontId="4" fillId="0" borderId="14" xfId="0" applyFont="1" applyBorder="1" applyAlignment="1">
      <alignment horizontal="left"/>
    </xf>
    <xf numFmtId="0" fontId="11" fillId="0" borderId="8" xfId="0" applyFont="1" applyBorder="1"/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Fill="1" applyBorder="1" applyAlignment="1">
      <alignment horizontal="left" vertical="center" wrapText="1"/>
    </xf>
    <xf numFmtId="0" fontId="5" fillId="0" borderId="9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11" fillId="0" borderId="9" xfId="0" applyFont="1" applyBorder="1" applyAlignment="1">
      <alignment horizontal="left" vertical="center" wrapText="1"/>
    </xf>
    <xf numFmtId="165" fontId="11" fillId="0" borderId="37" xfId="0" applyNumberFormat="1" applyFont="1" applyBorder="1"/>
    <xf numFmtId="164" fontId="2" fillId="0" borderId="9" xfId="0" applyNumberFormat="1" applyFont="1" applyFill="1" applyBorder="1" applyAlignment="1">
      <alignment horizontal="center"/>
    </xf>
    <xf numFmtId="0" fontId="2" fillId="0" borderId="59" xfId="0" applyFont="1" applyBorder="1"/>
    <xf numFmtId="165" fontId="2" fillId="0" borderId="4" xfId="0" applyNumberFormat="1" applyFont="1" applyBorder="1"/>
    <xf numFmtId="1" fontId="14" fillId="0" borderId="5" xfId="0" applyNumberFormat="1" applyFont="1" applyBorder="1"/>
    <xf numFmtId="0" fontId="14" fillId="0" borderId="59" xfId="0" applyFont="1" applyBorder="1"/>
    <xf numFmtId="165" fontId="14" fillId="0" borderId="4" xfId="0" applyNumberFormat="1" applyFont="1" applyBorder="1"/>
    <xf numFmtId="1" fontId="2" fillId="0" borderId="59" xfId="0" applyNumberFormat="1" applyFont="1" applyBorder="1"/>
    <xf numFmtId="0" fontId="2" fillId="0" borderId="4" xfId="0" applyFont="1" applyBorder="1"/>
    <xf numFmtId="1" fontId="2" fillId="0" borderId="5" xfId="0" applyNumberFormat="1" applyFont="1" applyBorder="1"/>
    <xf numFmtId="165" fontId="2" fillId="0" borderId="5" xfId="2" applyNumberFormat="1" applyFont="1" applyBorder="1"/>
    <xf numFmtId="165" fontId="14" fillId="0" borderId="5" xfId="2" applyNumberFormat="1" applyFont="1" applyBorder="1"/>
    <xf numFmtId="1" fontId="14" fillId="0" borderId="28" xfId="0" applyNumberFormat="1" applyFont="1" applyBorder="1"/>
    <xf numFmtId="1" fontId="2" fillId="0" borderId="59" xfId="0" applyNumberFormat="1" applyFont="1" applyBorder="1" applyAlignment="1">
      <alignment horizontal="center"/>
    </xf>
    <xf numFmtId="165" fontId="2" fillId="0" borderId="59" xfId="2" applyNumberFormat="1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49" xfId="0" applyBorder="1" applyAlignment="1">
      <alignment horizontal="left"/>
    </xf>
    <xf numFmtId="0" fontId="4" fillId="0" borderId="66" xfId="0" applyFont="1" applyBorder="1" applyAlignment="1"/>
    <xf numFmtId="0" fontId="4" fillId="0" borderId="67" xfId="0" applyFont="1" applyBorder="1" applyAlignment="1"/>
    <xf numFmtId="0" fontId="1" fillId="0" borderId="0" xfId="0" applyFont="1"/>
    <xf numFmtId="164" fontId="2" fillId="0" borderId="10" xfId="0" applyNumberFormat="1" applyFont="1" applyFill="1" applyBorder="1"/>
    <xf numFmtId="10" fontId="2" fillId="0" borderId="4" xfId="0" applyNumberFormat="1" applyFont="1" applyBorder="1"/>
    <xf numFmtId="165" fontId="2" fillId="0" borderId="21" xfId="2" applyNumberFormat="1" applyFont="1" applyBorder="1"/>
    <xf numFmtId="165" fontId="2" fillId="0" borderId="59" xfId="2" applyNumberFormat="1" applyFont="1" applyBorder="1"/>
    <xf numFmtId="1" fontId="14" fillId="0" borderId="5" xfId="0" applyNumberFormat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1" fontId="2" fillId="0" borderId="28" xfId="0" applyNumberFormat="1" applyFont="1" applyBorder="1"/>
    <xf numFmtId="164" fontId="14" fillId="0" borderId="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5" fontId="2" fillId="0" borderId="7" xfId="2" applyNumberFormat="1" applyFont="1" applyBorder="1" applyAlignment="1">
      <alignment horizontal="center"/>
    </xf>
    <xf numFmtId="41" fontId="5" fillId="0" borderId="6" xfId="0" applyNumberFormat="1" applyFont="1" applyBorder="1" applyAlignment="1">
      <alignment horizontal="right"/>
    </xf>
    <xf numFmtId="41" fontId="5" fillId="0" borderId="9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" fontId="4" fillId="0" borderId="34" xfId="0" applyNumberFormat="1" applyFont="1" applyFill="1" applyBorder="1" applyAlignment="1">
      <alignment horizontal="center"/>
    </xf>
    <xf numFmtId="0" fontId="0" fillId="0" borderId="0" xfId="0" applyFill="1"/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/>
    <xf numFmtId="1" fontId="2" fillId="0" borderId="34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2" fillId="0" borderId="17" xfId="0" applyFont="1" applyFill="1" applyBorder="1" applyAlignment="1">
      <alignment horizontal="center"/>
    </xf>
    <xf numFmtId="1" fontId="2" fillId="0" borderId="2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3" fillId="0" borderId="0" xfId="0" applyFont="1" applyFill="1"/>
    <xf numFmtId="0" fontId="15" fillId="0" borderId="31" xfId="0" applyFont="1" applyFill="1" applyBorder="1" applyAlignment="1">
      <alignment wrapText="1"/>
    </xf>
    <xf numFmtId="164" fontId="18" fillId="0" borderId="34" xfId="0" applyNumberFormat="1" applyFont="1" applyFill="1" applyBorder="1" applyAlignment="1">
      <alignment horizontal="center"/>
    </xf>
    <xf numFmtId="164" fontId="13" fillId="0" borderId="34" xfId="0" applyNumberFormat="1" applyFont="1" applyFill="1" applyBorder="1" applyAlignment="1">
      <alignment horizontal="center"/>
    </xf>
    <xf numFmtId="164" fontId="14" fillId="0" borderId="34" xfId="0" applyNumberFormat="1" applyFont="1" applyFill="1" applyBorder="1" applyAlignment="1">
      <alignment horizontal="center"/>
    </xf>
    <xf numFmtId="165" fontId="14" fillId="0" borderId="34" xfId="2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5" fontId="3" fillId="0" borderId="34" xfId="2" applyNumberFormat="1" applyFont="1" applyFill="1" applyBorder="1" applyAlignment="1">
      <alignment horizontal="center"/>
    </xf>
    <xf numFmtId="165" fontId="2" fillId="0" borderId="65" xfId="2" applyNumberFormat="1" applyFont="1" applyFill="1" applyBorder="1" applyAlignment="1">
      <alignment horizontal="center"/>
    </xf>
    <xf numFmtId="165" fontId="2" fillId="0" borderId="34" xfId="2" applyNumberFormat="1" applyFont="1" applyFill="1" applyBorder="1" applyAlignment="1">
      <alignment horizontal="center"/>
    </xf>
    <xf numFmtId="1" fontId="0" fillId="0" borderId="0" xfId="0" applyNumberFormat="1"/>
    <xf numFmtId="165" fontId="14" fillId="0" borderId="28" xfId="0" applyNumberFormat="1" applyFont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/>
    <xf numFmtId="165" fontId="0" fillId="0" borderId="0" xfId="0" applyNumberFormat="1"/>
    <xf numFmtId="165" fontId="2" fillId="0" borderId="26" xfId="2" applyNumberFormat="1" applyFont="1" applyFill="1" applyBorder="1" applyAlignment="1">
      <alignment horizontal="center"/>
    </xf>
    <xf numFmtId="41" fontId="5" fillId="0" borderId="9" xfId="0" applyNumberFormat="1" applyFont="1" applyFill="1" applyBorder="1" applyAlignment="1">
      <alignment horizontal="center"/>
    </xf>
    <xf numFmtId="0" fontId="0" fillId="0" borderId="0" xfId="0" applyAlignment="1">
      <alignment horizontal="left" indent="1"/>
    </xf>
    <xf numFmtId="165" fontId="2" fillId="0" borderId="48" xfId="2" applyNumberFormat="1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165" fontId="2" fillId="0" borderId="37" xfId="2" applyNumberFormat="1" applyFont="1" applyFill="1" applyBorder="1" applyAlignment="1">
      <alignment horizontal="center"/>
    </xf>
    <xf numFmtId="164" fontId="2" fillId="0" borderId="6" xfId="0" applyNumberFormat="1" applyFont="1" applyFill="1" applyBorder="1"/>
    <xf numFmtId="165" fontId="2" fillId="0" borderId="30" xfId="2" applyNumberFormat="1" applyFont="1" applyFill="1" applyBorder="1" applyAlignment="1">
      <alignment horizontal="center"/>
    </xf>
    <xf numFmtId="165" fontId="2" fillId="0" borderId="27" xfId="2" applyNumberFormat="1" applyFont="1" applyFill="1" applyBorder="1" applyAlignment="1">
      <alignment horizontal="center"/>
    </xf>
    <xf numFmtId="165" fontId="2" fillId="0" borderId="7" xfId="2" applyNumberFormat="1" applyFont="1" applyFill="1" applyBorder="1" applyAlignment="1">
      <alignment horizontal="center"/>
    </xf>
    <xf numFmtId="1" fontId="2" fillId="0" borderId="31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9" fontId="0" fillId="0" borderId="0" xfId="0" applyNumberFormat="1"/>
    <xf numFmtId="1" fontId="14" fillId="0" borderId="34" xfId="0" applyNumberFormat="1" applyFont="1" applyFill="1" applyBorder="1" applyAlignment="1">
      <alignment horizontal="center"/>
    </xf>
    <xf numFmtId="165" fontId="14" fillId="0" borderId="27" xfId="2" applyNumberFormat="1" applyFont="1" applyBorder="1" applyAlignment="1">
      <alignment horizontal="center"/>
    </xf>
    <xf numFmtId="165" fontId="2" fillId="0" borderId="65" xfId="0" applyNumberFormat="1" applyFont="1" applyBorder="1"/>
    <xf numFmtId="165" fontId="2" fillId="0" borderId="30" xfId="2" applyNumberFormat="1" applyFont="1" applyBorder="1"/>
    <xf numFmtId="165" fontId="13" fillId="0" borderId="7" xfId="0" applyNumberFormat="1" applyFont="1" applyBorder="1" applyAlignment="1">
      <alignment wrapText="1"/>
    </xf>
    <xf numFmtId="165" fontId="13" fillId="0" borderId="59" xfId="2" applyNumberFormat="1" applyFont="1" applyBorder="1"/>
    <xf numFmtId="165" fontId="13" fillId="0" borderId="9" xfId="2" applyNumberFormat="1" applyFont="1" applyBorder="1"/>
    <xf numFmtId="165" fontId="13" fillId="0" borderId="59" xfId="2" applyNumberFormat="1" applyFont="1" applyBorder="1" applyAlignment="1">
      <alignment horizontal="center"/>
    </xf>
    <xf numFmtId="165" fontId="2" fillId="0" borderId="26" xfId="2" applyNumberFormat="1" applyFont="1" applyBorder="1"/>
    <xf numFmtId="10" fontId="14" fillId="0" borderId="5" xfId="0" applyNumberFormat="1" applyFont="1" applyFill="1" applyBorder="1" applyAlignment="1">
      <alignment horizontal="center"/>
    </xf>
    <xf numFmtId="165" fontId="14" fillId="0" borderId="5" xfId="2" applyNumberFormat="1" applyFont="1" applyFill="1" applyBorder="1" applyAlignment="1">
      <alignment horizontal="center"/>
    </xf>
    <xf numFmtId="10" fontId="6" fillId="0" borderId="21" xfId="0" applyNumberFormat="1" applyFont="1" applyFill="1" applyBorder="1"/>
    <xf numFmtId="165" fontId="14" fillId="0" borderId="28" xfId="0" applyNumberFormat="1" applyFont="1" applyFill="1" applyBorder="1" applyAlignment="1">
      <alignment horizontal="center"/>
    </xf>
    <xf numFmtId="165" fontId="13" fillId="0" borderId="59" xfId="2" applyNumberFormat="1" applyFont="1" applyFill="1" applyBorder="1" applyAlignment="1">
      <alignment horizontal="center"/>
    </xf>
    <xf numFmtId="1" fontId="13" fillId="0" borderId="59" xfId="0" applyNumberFormat="1" applyFont="1" applyFill="1" applyBorder="1" applyAlignment="1">
      <alignment horizontal="center"/>
    </xf>
    <xf numFmtId="165" fontId="13" fillId="0" borderId="9" xfId="2" applyNumberFormat="1" applyFont="1" applyFill="1" applyBorder="1" applyAlignment="1">
      <alignment horizontal="center"/>
    </xf>
    <xf numFmtId="1" fontId="13" fillId="0" borderId="9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1" fillId="0" borderId="0" xfId="0" applyFont="1" applyFill="1" applyAlignment="1"/>
    <xf numFmtId="0" fontId="1" fillId="0" borderId="0" xfId="0" applyFont="1" applyFill="1"/>
    <xf numFmtId="0" fontId="13" fillId="0" borderId="9" xfId="0" applyFont="1" applyFill="1" applyBorder="1" applyAlignment="1">
      <alignment horizontal="center"/>
    </xf>
    <xf numFmtId="165" fontId="13" fillId="0" borderId="2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5" fontId="13" fillId="0" borderId="4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165" fontId="13" fillId="0" borderId="10" xfId="2" applyNumberFormat="1" applyFont="1" applyFill="1" applyBorder="1" applyAlignment="1">
      <alignment horizontal="center"/>
    </xf>
    <xf numFmtId="165" fontId="13" fillId="0" borderId="48" xfId="0" applyNumberFormat="1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10" fontId="10" fillId="0" borderId="21" xfId="2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65" fontId="10" fillId="0" borderId="65" xfId="0" applyNumberFormat="1" applyFont="1" applyFill="1" applyBorder="1" applyAlignment="1">
      <alignment horizontal="center"/>
    </xf>
    <xf numFmtId="0" fontId="10" fillId="0" borderId="0" xfId="0" applyFont="1" applyFill="1"/>
    <xf numFmtId="165" fontId="14" fillId="0" borderId="7" xfId="0" applyNumberFormat="1" applyFont="1" applyBorder="1"/>
    <xf numFmtId="165" fontId="14" fillId="0" borderId="5" xfId="0" applyNumberFormat="1" applyFont="1" applyFill="1" applyBorder="1"/>
    <xf numFmtId="0" fontId="0" fillId="0" borderId="62" xfId="0" applyBorder="1"/>
    <xf numFmtId="165" fontId="14" fillId="0" borderId="62" xfId="2" applyNumberFormat="1" applyFont="1" applyBorder="1" applyAlignment="1">
      <alignment horizontal="center"/>
    </xf>
    <xf numFmtId="0" fontId="0" fillId="0" borderId="62" xfId="0" applyFill="1" applyBorder="1"/>
    <xf numFmtId="165" fontId="13" fillId="0" borderId="0" xfId="2" applyNumberFormat="1" applyFont="1" applyBorder="1" applyAlignment="1">
      <alignment horizontal="center"/>
    </xf>
    <xf numFmtId="0" fontId="0" fillId="0" borderId="0" xfId="0" applyFill="1" applyBorder="1"/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3" fillId="0" borderId="13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5" fillId="0" borderId="5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 vertical="top" wrapText="1"/>
    </xf>
    <xf numFmtId="0" fontId="15" fillId="0" borderId="26" xfId="0" applyFont="1" applyFill="1" applyBorder="1" applyAlignment="1">
      <alignment horizontal="center" vertical="top" wrapText="1"/>
    </xf>
    <xf numFmtId="0" fontId="14" fillId="0" borderId="5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0" fillId="0" borderId="30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66" fontId="13" fillId="0" borderId="0" xfId="0" applyNumberFormat="1" applyFont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5" fontId="13" fillId="0" borderId="0" xfId="0" applyNumberFormat="1" applyFont="1" applyAlignment="1">
      <alignment horizontal="left"/>
    </xf>
    <xf numFmtId="0" fontId="14" fillId="0" borderId="4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4" fillId="0" borderId="5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15" fontId="17" fillId="0" borderId="0" xfId="0" applyNumberFormat="1" applyFont="1" applyAlignment="1">
      <alignment horizontal="left"/>
    </xf>
    <xf numFmtId="0" fontId="14" fillId="0" borderId="40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166" fontId="17" fillId="0" borderId="0" xfId="0" applyNumberFormat="1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24" fillId="0" borderId="0" xfId="0" applyFont="1" applyAlignment="1">
      <alignment horizontal="center" wrapText="1"/>
    </xf>
    <xf numFmtId="0" fontId="4" fillId="0" borderId="35" xfId="0" applyFont="1" applyBorder="1" applyAlignment="1">
      <alignment horizontal="left"/>
    </xf>
    <xf numFmtId="0" fontId="14" fillId="0" borderId="4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165" fontId="5" fillId="0" borderId="48" xfId="0" applyNumberFormat="1" applyFont="1" applyFill="1" applyBorder="1" applyAlignment="1">
      <alignment wrapText="1"/>
    </xf>
    <xf numFmtId="165" fontId="11" fillId="0" borderId="2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/>
    </xf>
    <xf numFmtId="165" fontId="5" fillId="0" borderId="7" xfId="0" applyNumberFormat="1" applyFont="1" applyFill="1" applyBorder="1" applyAlignment="1">
      <alignment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workbookViewId="0">
      <selection activeCell="T16" sqref="T16"/>
    </sheetView>
  </sheetViews>
  <sheetFormatPr defaultRowHeight="12.75"/>
  <cols>
    <col min="1" max="1" width="16" customWidth="1"/>
    <col min="2" max="2" width="8" customWidth="1"/>
    <col min="3" max="3" width="7.7109375" customWidth="1"/>
    <col min="4" max="4" width="8.42578125" customWidth="1"/>
    <col min="5" max="5" width="7.28515625" customWidth="1"/>
    <col min="6" max="6" width="6.28515625" customWidth="1"/>
    <col min="7" max="7" width="7" customWidth="1"/>
    <col min="8" max="8" width="7.5703125" customWidth="1"/>
    <col min="9" max="9" width="8.140625" customWidth="1"/>
    <col min="10" max="10" width="7.85546875" customWidth="1"/>
    <col min="11" max="11" width="8.5703125" customWidth="1"/>
    <col min="12" max="12" width="7.42578125" customWidth="1"/>
    <col min="13" max="13" width="6.5703125" customWidth="1"/>
    <col min="14" max="14" width="7" customWidth="1"/>
    <col min="15" max="15" width="7.7109375" style="372" customWidth="1"/>
    <col min="16" max="17" width="7.5703125" style="372" bestFit="1" customWidth="1"/>
    <col min="18" max="18" width="10.42578125" style="372" customWidth="1"/>
  </cols>
  <sheetData>
    <row r="1" spans="1:22">
      <c r="A1" s="123" t="s">
        <v>98</v>
      </c>
      <c r="P1" s="402"/>
      <c r="Q1" s="402"/>
      <c r="R1" s="402"/>
    </row>
    <row r="2" spans="1:22">
      <c r="A2" s="25"/>
      <c r="B2" s="28"/>
      <c r="C2" s="28"/>
      <c r="D2" s="44" t="s">
        <v>97</v>
      </c>
      <c r="E2" s="44"/>
      <c r="F2" s="44"/>
      <c r="G2" s="44"/>
      <c r="H2" s="44"/>
      <c r="I2" s="44"/>
      <c r="J2" s="44"/>
      <c r="K2" s="44"/>
      <c r="L2" s="44"/>
      <c r="M2" s="44"/>
      <c r="N2" s="28"/>
      <c r="O2" s="371"/>
      <c r="P2" s="371"/>
      <c r="Q2" s="371"/>
      <c r="R2" s="371"/>
    </row>
    <row r="3" spans="1:22">
      <c r="A3" s="28"/>
      <c r="B3" s="28"/>
      <c r="C3" s="28"/>
      <c r="D3" s="175" t="s">
        <v>147</v>
      </c>
      <c r="E3" s="44"/>
      <c r="F3" s="44"/>
      <c r="G3" s="44"/>
      <c r="H3" s="44"/>
      <c r="I3" s="44"/>
      <c r="J3" s="44"/>
      <c r="K3" s="44"/>
      <c r="L3" s="44"/>
      <c r="M3" s="44"/>
      <c r="N3" s="28"/>
      <c r="O3" s="371"/>
      <c r="P3" s="371"/>
      <c r="Q3" s="371"/>
      <c r="R3" s="371"/>
    </row>
    <row r="4" spans="1:22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23"/>
      <c r="P4" s="323"/>
      <c r="Q4" s="323"/>
      <c r="R4" s="323"/>
    </row>
    <row r="5" spans="1:22">
      <c r="A5" s="406" t="s">
        <v>0</v>
      </c>
      <c r="B5" s="401" t="s">
        <v>8</v>
      </c>
      <c r="C5" s="401"/>
      <c r="D5" s="401"/>
      <c r="E5" s="401"/>
      <c r="F5" s="401"/>
      <c r="G5" s="401"/>
      <c r="H5" s="401"/>
      <c r="I5" s="401" t="s">
        <v>9</v>
      </c>
      <c r="J5" s="401"/>
      <c r="K5" s="401"/>
      <c r="L5" s="401"/>
      <c r="M5" s="401"/>
      <c r="N5" s="401"/>
      <c r="O5" s="401"/>
      <c r="P5" s="408" t="s">
        <v>120</v>
      </c>
      <c r="Q5" s="409"/>
      <c r="R5" s="404" t="s">
        <v>119</v>
      </c>
    </row>
    <row r="6" spans="1:22" ht="18" customHeight="1">
      <c r="A6" s="407"/>
      <c r="B6" s="179" t="s">
        <v>1</v>
      </c>
      <c r="C6" s="179" t="s">
        <v>2</v>
      </c>
      <c r="D6" s="179" t="s">
        <v>3</v>
      </c>
      <c r="E6" s="179" t="s">
        <v>4</v>
      </c>
      <c r="F6" s="179" t="s">
        <v>5</v>
      </c>
      <c r="G6" s="179" t="s">
        <v>6</v>
      </c>
      <c r="H6" s="179" t="s">
        <v>10</v>
      </c>
      <c r="I6" s="180" t="s">
        <v>1</v>
      </c>
      <c r="J6" s="180" t="s">
        <v>2</v>
      </c>
      <c r="K6" s="180" t="s">
        <v>3</v>
      </c>
      <c r="L6" s="180" t="s">
        <v>4</v>
      </c>
      <c r="M6" s="180" t="s">
        <v>5</v>
      </c>
      <c r="N6" s="180" t="s">
        <v>6</v>
      </c>
      <c r="O6" s="316" t="s">
        <v>10</v>
      </c>
      <c r="P6" s="316">
        <v>2017</v>
      </c>
      <c r="Q6" s="316">
        <v>2016</v>
      </c>
      <c r="R6" s="405"/>
    </row>
    <row r="7" spans="1:22" ht="15.95" customHeight="1">
      <c r="A7" s="15" t="s">
        <v>20</v>
      </c>
      <c r="B7" s="26">
        <v>2272</v>
      </c>
      <c r="C7" s="26">
        <v>1603</v>
      </c>
      <c r="D7" s="26">
        <v>3428</v>
      </c>
      <c r="E7" s="26">
        <v>2417</v>
      </c>
      <c r="F7" s="26">
        <v>2461</v>
      </c>
      <c r="G7" s="26">
        <f t="shared" ref="G7:G12" si="0">SUM(B7:F7)</f>
        <v>12181</v>
      </c>
      <c r="H7" s="181">
        <f t="shared" ref="H7:H12" si="1">+G7/P7</f>
        <v>0.44764984748814818</v>
      </c>
      <c r="I7" s="26">
        <v>2438</v>
      </c>
      <c r="J7" s="26">
        <v>1947</v>
      </c>
      <c r="K7" s="26">
        <v>4801</v>
      </c>
      <c r="L7" s="26">
        <v>2577</v>
      </c>
      <c r="M7" s="26">
        <v>3267</v>
      </c>
      <c r="N7" s="26">
        <f t="shared" ref="N7:N12" si="2">SUM(I7:M7)</f>
        <v>15030</v>
      </c>
      <c r="O7" s="368">
        <f t="shared" ref="O7:O12" si="3">+N7/P7</f>
        <v>0.55235015251185182</v>
      </c>
      <c r="P7" s="373">
        <f t="shared" ref="P7:P12" si="4">+G7+N7</f>
        <v>27211</v>
      </c>
      <c r="Q7" s="373">
        <v>28120</v>
      </c>
      <c r="R7" s="374">
        <f t="shared" ref="R7:R12" si="5">+(P7/Q7)-1</f>
        <v>-3.232574679943101E-2</v>
      </c>
      <c r="T7" s="337"/>
      <c r="U7" s="300"/>
      <c r="V7" s="337"/>
    </row>
    <row r="8" spans="1:22" ht="15.95" customHeight="1">
      <c r="A8" s="15" t="s">
        <v>21</v>
      </c>
      <c r="B8" s="26">
        <v>2192</v>
      </c>
      <c r="C8" s="26">
        <v>1533</v>
      </c>
      <c r="D8" s="26">
        <v>3314</v>
      </c>
      <c r="E8" s="26">
        <v>2356</v>
      </c>
      <c r="F8" s="26">
        <v>2400</v>
      </c>
      <c r="G8" s="26">
        <f t="shared" si="0"/>
        <v>11795</v>
      </c>
      <c r="H8" s="181">
        <f t="shared" si="1"/>
        <v>0.44623940677966101</v>
      </c>
      <c r="I8" s="26">
        <v>2309</v>
      </c>
      <c r="J8" s="26">
        <v>1832</v>
      </c>
      <c r="K8" s="26">
        <v>4747</v>
      </c>
      <c r="L8" s="26">
        <v>2505</v>
      </c>
      <c r="M8" s="26">
        <v>3244</v>
      </c>
      <c r="N8" s="26">
        <f t="shared" si="2"/>
        <v>14637</v>
      </c>
      <c r="O8" s="368">
        <f t="shared" si="3"/>
        <v>0.55376059322033899</v>
      </c>
      <c r="P8" s="373">
        <f t="shared" si="4"/>
        <v>26432</v>
      </c>
      <c r="Q8" s="373">
        <v>28003</v>
      </c>
      <c r="R8" s="374">
        <f t="shared" si="5"/>
        <v>-5.6101132021569078E-2</v>
      </c>
    </row>
    <row r="9" spans="1:22" ht="15.95" customHeight="1">
      <c r="A9" s="15" t="s">
        <v>22</v>
      </c>
      <c r="B9" s="26">
        <v>2115</v>
      </c>
      <c r="C9" s="26">
        <v>1471</v>
      </c>
      <c r="D9" s="26">
        <v>3164</v>
      </c>
      <c r="E9" s="26">
        <v>2230</v>
      </c>
      <c r="F9" s="26">
        <v>1905</v>
      </c>
      <c r="G9" s="26">
        <f t="shared" si="0"/>
        <v>10885</v>
      </c>
      <c r="H9" s="181">
        <f t="shared" si="1"/>
        <v>0.44537643207855976</v>
      </c>
      <c r="I9" s="26">
        <v>2302</v>
      </c>
      <c r="J9" s="26">
        <v>1711</v>
      </c>
      <c r="K9" s="26">
        <v>4577</v>
      </c>
      <c r="L9" s="26">
        <v>2411</v>
      </c>
      <c r="M9" s="26">
        <v>2554</v>
      </c>
      <c r="N9" s="26">
        <f t="shared" si="2"/>
        <v>13555</v>
      </c>
      <c r="O9" s="368">
        <f t="shared" si="3"/>
        <v>0.5546235679214403</v>
      </c>
      <c r="P9" s="373">
        <f t="shared" si="4"/>
        <v>24440</v>
      </c>
      <c r="Q9" s="373">
        <v>25337</v>
      </c>
      <c r="R9" s="374">
        <f t="shared" si="5"/>
        <v>-3.5402770651616233E-2</v>
      </c>
    </row>
    <row r="10" spans="1:22" ht="15.95" customHeight="1">
      <c r="A10" s="15" t="s">
        <v>23</v>
      </c>
      <c r="B10" s="26">
        <v>1992</v>
      </c>
      <c r="C10" s="26">
        <v>1202</v>
      </c>
      <c r="D10" s="26">
        <v>1882</v>
      </c>
      <c r="E10" s="26">
        <v>1943</v>
      </c>
      <c r="F10" s="26">
        <v>1145</v>
      </c>
      <c r="G10" s="26">
        <f t="shared" si="0"/>
        <v>8164</v>
      </c>
      <c r="H10" s="181">
        <f t="shared" si="1"/>
        <v>0.45137391496655055</v>
      </c>
      <c r="I10" s="26">
        <v>2166</v>
      </c>
      <c r="J10" s="26">
        <v>1348</v>
      </c>
      <c r="K10" s="26">
        <v>2862</v>
      </c>
      <c r="L10" s="26">
        <v>2199</v>
      </c>
      <c r="M10" s="26">
        <v>1348</v>
      </c>
      <c r="N10" s="26">
        <f t="shared" si="2"/>
        <v>9923</v>
      </c>
      <c r="O10" s="368">
        <f t="shared" si="3"/>
        <v>0.54862608503344945</v>
      </c>
      <c r="P10" s="373">
        <f t="shared" si="4"/>
        <v>18087</v>
      </c>
      <c r="Q10" s="373">
        <v>18731</v>
      </c>
      <c r="R10" s="374">
        <f t="shared" si="5"/>
        <v>-3.4381506593347932E-2</v>
      </c>
    </row>
    <row r="11" spans="1:22" ht="15.95" customHeight="1">
      <c r="A11" s="15" t="s">
        <v>24</v>
      </c>
      <c r="B11" s="26">
        <v>1688</v>
      </c>
      <c r="C11" s="26">
        <v>888</v>
      </c>
      <c r="D11" s="26">
        <v>882</v>
      </c>
      <c r="E11" s="26">
        <v>1667</v>
      </c>
      <c r="F11" s="26">
        <v>669</v>
      </c>
      <c r="G11" s="26">
        <f t="shared" si="0"/>
        <v>5794</v>
      </c>
      <c r="H11" s="181">
        <f t="shared" si="1"/>
        <v>0.42966258806080831</v>
      </c>
      <c r="I11" s="26">
        <v>2138</v>
      </c>
      <c r="J11" s="26">
        <v>1161</v>
      </c>
      <c r="K11" s="26">
        <v>1209</v>
      </c>
      <c r="L11" s="26">
        <v>2241</v>
      </c>
      <c r="M11" s="26">
        <v>942</v>
      </c>
      <c r="N11" s="26">
        <f t="shared" si="2"/>
        <v>7691</v>
      </c>
      <c r="O11" s="368">
        <f t="shared" si="3"/>
        <v>0.57033741193919174</v>
      </c>
      <c r="P11" s="373">
        <f t="shared" si="4"/>
        <v>13485</v>
      </c>
      <c r="Q11" s="373">
        <v>14730</v>
      </c>
      <c r="R11" s="374">
        <f t="shared" si="5"/>
        <v>-8.4521384928716858E-2</v>
      </c>
    </row>
    <row r="12" spans="1:22" ht="15.95" customHeight="1" thickBot="1">
      <c r="A12" s="79" t="s">
        <v>25</v>
      </c>
      <c r="B12" s="19">
        <v>1668</v>
      </c>
      <c r="C12" s="19">
        <v>712</v>
      </c>
      <c r="D12" s="19">
        <v>213</v>
      </c>
      <c r="E12" s="19">
        <v>1533</v>
      </c>
      <c r="F12" s="19">
        <v>458</v>
      </c>
      <c r="G12" s="26">
        <f t="shared" si="0"/>
        <v>4584</v>
      </c>
      <c r="H12" s="181">
        <f t="shared" si="1"/>
        <v>0.37286481210346512</v>
      </c>
      <c r="I12" s="19">
        <v>2602</v>
      </c>
      <c r="J12" s="19">
        <v>1236</v>
      </c>
      <c r="K12" s="19">
        <v>378</v>
      </c>
      <c r="L12" s="19">
        <v>2630</v>
      </c>
      <c r="M12" s="19">
        <v>864</v>
      </c>
      <c r="N12" s="26">
        <f t="shared" si="2"/>
        <v>7710</v>
      </c>
      <c r="O12" s="368">
        <f t="shared" si="3"/>
        <v>0.62713518789653488</v>
      </c>
      <c r="P12" s="373">
        <f t="shared" si="4"/>
        <v>12294</v>
      </c>
      <c r="Q12" s="375">
        <v>13962</v>
      </c>
      <c r="R12" s="374">
        <f t="shared" si="5"/>
        <v>-0.11946712505371726</v>
      </c>
    </row>
    <row r="13" spans="1:22" ht="15.95" customHeight="1">
      <c r="A13" s="403" t="s">
        <v>45</v>
      </c>
      <c r="B13" s="291"/>
      <c r="C13" s="291"/>
      <c r="D13" s="291"/>
      <c r="E13" s="291"/>
      <c r="F13" s="291"/>
      <c r="G13" s="291"/>
      <c r="H13" s="292"/>
      <c r="I13" s="291"/>
      <c r="J13" s="291"/>
      <c r="K13" s="291"/>
      <c r="L13" s="291"/>
      <c r="M13" s="291"/>
      <c r="N13" s="291"/>
      <c r="O13" s="366"/>
      <c r="P13" s="367"/>
      <c r="Q13" s="367"/>
      <c r="R13" s="376"/>
    </row>
    <row r="14" spans="1:22" ht="19.5" customHeight="1" thickBot="1">
      <c r="A14" s="400"/>
      <c r="B14" s="293">
        <f t="shared" ref="B14:G14" si="6">AVERAGE(B7:B12)</f>
        <v>1987.8333333333333</v>
      </c>
      <c r="C14" s="293">
        <f t="shared" si="6"/>
        <v>1234.8333333333333</v>
      </c>
      <c r="D14" s="293">
        <f t="shared" si="6"/>
        <v>2147.1666666666665</v>
      </c>
      <c r="E14" s="293">
        <f t="shared" si="6"/>
        <v>2024.3333333333333</v>
      </c>
      <c r="F14" s="293">
        <f t="shared" si="6"/>
        <v>1506.3333333333333</v>
      </c>
      <c r="G14" s="293">
        <f t="shared" si="6"/>
        <v>8900.5</v>
      </c>
      <c r="H14" s="363">
        <f t="shared" ref="H14:H20" si="7">+G14/P14</f>
        <v>0.4379125700087742</v>
      </c>
      <c r="I14" s="293">
        <f t="shared" ref="I14:N14" si="8">AVERAGE(I7:I12)</f>
        <v>2325.8333333333335</v>
      </c>
      <c r="J14" s="293">
        <f t="shared" si="8"/>
        <v>1539.1666666666667</v>
      </c>
      <c r="K14" s="293">
        <f t="shared" si="8"/>
        <v>3095.6666666666665</v>
      </c>
      <c r="L14" s="293">
        <f t="shared" si="8"/>
        <v>2427.1666666666665</v>
      </c>
      <c r="M14" s="293">
        <f t="shared" si="8"/>
        <v>2036.5</v>
      </c>
      <c r="N14" s="293">
        <f t="shared" si="8"/>
        <v>11424.333333333334</v>
      </c>
      <c r="O14" s="363">
        <f t="shared" ref="O14:O20" si="9">+N14/P14</f>
        <v>0.56208742999122585</v>
      </c>
      <c r="P14" s="305">
        <f>AVERAGE(P7:P12)</f>
        <v>20324.833333333332</v>
      </c>
      <c r="Q14" s="305">
        <v>21480.5</v>
      </c>
      <c r="R14" s="365">
        <f>+(P14/Q14)-1</f>
        <v>-5.3800733999053496E-2</v>
      </c>
    </row>
    <row r="15" spans="1:22" ht="15.95" customHeight="1">
      <c r="A15" s="78" t="s">
        <v>26</v>
      </c>
      <c r="B15" s="27">
        <v>1710</v>
      </c>
      <c r="C15" s="27">
        <v>730</v>
      </c>
      <c r="D15" s="27">
        <v>229</v>
      </c>
      <c r="E15" s="27">
        <v>1591</v>
      </c>
      <c r="F15" s="27">
        <v>466</v>
      </c>
      <c r="G15" s="27">
        <f t="shared" ref="G15:G20" si="10">SUM(B15:F15)</f>
        <v>4726</v>
      </c>
      <c r="H15" s="360">
        <f t="shared" si="7"/>
        <v>0.33853868194842407</v>
      </c>
      <c r="I15" s="27">
        <v>3209</v>
      </c>
      <c r="J15" s="27">
        <v>1451</v>
      </c>
      <c r="K15" s="27">
        <v>449</v>
      </c>
      <c r="L15" s="27">
        <v>3179</v>
      </c>
      <c r="M15" s="27">
        <v>946</v>
      </c>
      <c r="N15" s="26">
        <f t="shared" ref="N15:N20" si="11">SUM(I15:M15)</f>
        <v>9234</v>
      </c>
      <c r="O15" s="366">
        <f t="shared" si="9"/>
        <v>0.66146131805157593</v>
      </c>
      <c r="P15" s="367">
        <f t="shared" ref="P15:P20" si="12">G15+N15</f>
        <v>13960</v>
      </c>
      <c r="Q15" s="377">
        <v>15082</v>
      </c>
      <c r="R15" s="378">
        <f t="shared" ref="R15:R20" si="13">(P15/Q15)-1</f>
        <v>-7.439331653626835E-2</v>
      </c>
      <c r="T15" s="333"/>
    </row>
    <row r="16" spans="1:22" ht="15.95" customHeight="1">
      <c r="A16" s="15" t="s">
        <v>7</v>
      </c>
      <c r="B16" s="26">
        <v>1698</v>
      </c>
      <c r="C16" s="26">
        <v>707</v>
      </c>
      <c r="D16" s="26">
        <v>223</v>
      </c>
      <c r="E16" s="26">
        <v>1538</v>
      </c>
      <c r="F16" s="26">
        <v>451</v>
      </c>
      <c r="G16" s="27">
        <f t="shared" si="10"/>
        <v>4617</v>
      </c>
      <c r="H16" s="207">
        <f t="shared" si="7"/>
        <v>0.33132400430570508</v>
      </c>
      <c r="I16" s="26">
        <v>3311</v>
      </c>
      <c r="J16" s="26">
        <v>1426</v>
      </c>
      <c r="K16" s="26">
        <v>458</v>
      </c>
      <c r="L16" s="26">
        <v>3211</v>
      </c>
      <c r="M16" s="26">
        <v>912</v>
      </c>
      <c r="N16" s="26">
        <f t="shared" si="11"/>
        <v>9318</v>
      </c>
      <c r="O16" s="368">
        <f t="shared" si="9"/>
        <v>0.66867599569429492</v>
      </c>
      <c r="P16" s="369">
        <f t="shared" si="12"/>
        <v>13935</v>
      </c>
      <c r="Q16" s="373">
        <v>15419</v>
      </c>
      <c r="R16" s="378">
        <f t="shared" si="13"/>
        <v>-9.6244892664894E-2</v>
      </c>
      <c r="T16" s="333"/>
    </row>
    <row r="17" spans="1:21" ht="15.95" customHeight="1">
      <c r="A17" s="15" t="s">
        <v>27</v>
      </c>
      <c r="B17" s="26">
        <v>1590</v>
      </c>
      <c r="C17" s="26">
        <v>662</v>
      </c>
      <c r="D17" s="26">
        <v>214</v>
      </c>
      <c r="E17" s="26">
        <v>1483</v>
      </c>
      <c r="F17" s="26">
        <v>416</v>
      </c>
      <c r="G17" s="27">
        <f t="shared" si="10"/>
        <v>4365</v>
      </c>
      <c r="H17" s="207">
        <f t="shared" si="7"/>
        <v>0.36254152823920266</v>
      </c>
      <c r="I17" s="26">
        <v>2678</v>
      </c>
      <c r="J17" s="26">
        <v>1168</v>
      </c>
      <c r="K17" s="26">
        <v>364</v>
      </c>
      <c r="L17" s="26">
        <v>2699</v>
      </c>
      <c r="M17" s="26">
        <v>766</v>
      </c>
      <c r="N17" s="26">
        <f t="shared" si="11"/>
        <v>7675</v>
      </c>
      <c r="O17" s="368">
        <f t="shared" si="9"/>
        <v>0.6374584717607974</v>
      </c>
      <c r="P17" s="369">
        <f t="shared" si="12"/>
        <v>12040</v>
      </c>
      <c r="Q17" s="373">
        <v>13770</v>
      </c>
      <c r="R17" s="378">
        <f t="shared" si="13"/>
        <v>-0.12563543936092958</v>
      </c>
      <c r="T17" s="333"/>
      <c r="U17" s="333"/>
    </row>
    <row r="18" spans="1:21" ht="15.95" customHeight="1">
      <c r="A18" s="15" t="s">
        <v>28</v>
      </c>
      <c r="B18" s="26">
        <v>1478</v>
      </c>
      <c r="C18" s="26">
        <v>612</v>
      </c>
      <c r="D18" s="26">
        <v>287</v>
      </c>
      <c r="E18" s="26">
        <v>1410</v>
      </c>
      <c r="F18" s="26">
        <v>444</v>
      </c>
      <c r="G18" s="27">
        <f t="shared" si="10"/>
        <v>4231</v>
      </c>
      <c r="H18" s="207">
        <f t="shared" si="7"/>
        <v>0.41013958898797986</v>
      </c>
      <c r="I18" s="26">
        <v>2007</v>
      </c>
      <c r="J18" s="26">
        <v>944</v>
      </c>
      <c r="K18" s="26">
        <v>396</v>
      </c>
      <c r="L18" s="26">
        <v>2073</v>
      </c>
      <c r="M18" s="26">
        <v>665</v>
      </c>
      <c r="N18" s="26">
        <f t="shared" si="11"/>
        <v>6085</v>
      </c>
      <c r="O18" s="368">
        <f t="shared" si="9"/>
        <v>0.58986041101202014</v>
      </c>
      <c r="P18" s="369">
        <f t="shared" si="12"/>
        <v>10316</v>
      </c>
      <c r="Q18" s="373">
        <v>12341</v>
      </c>
      <c r="R18" s="378">
        <f t="shared" si="13"/>
        <v>-0.16408718904464792</v>
      </c>
    </row>
    <row r="19" spans="1:21" ht="15.95" customHeight="1">
      <c r="A19" s="15" t="s">
        <v>29</v>
      </c>
      <c r="B19" s="26">
        <v>1504</v>
      </c>
      <c r="C19" s="26">
        <v>1045</v>
      </c>
      <c r="D19" s="26">
        <v>2678</v>
      </c>
      <c r="E19" s="26">
        <v>1582</v>
      </c>
      <c r="F19" s="26">
        <v>1235</v>
      </c>
      <c r="G19" s="26">
        <f t="shared" si="10"/>
        <v>8044</v>
      </c>
      <c r="H19" s="207">
        <f t="shared" si="7"/>
        <v>0.42188073635076312</v>
      </c>
      <c r="I19" s="26">
        <v>1874</v>
      </c>
      <c r="J19" s="26">
        <v>1360</v>
      </c>
      <c r="K19" s="26">
        <v>3830</v>
      </c>
      <c r="L19" s="26">
        <v>2102</v>
      </c>
      <c r="M19" s="26">
        <v>1857</v>
      </c>
      <c r="N19" s="26">
        <f t="shared" si="11"/>
        <v>11023</v>
      </c>
      <c r="O19" s="368">
        <f t="shared" si="9"/>
        <v>0.57811926364923694</v>
      </c>
      <c r="P19" s="373">
        <f t="shared" si="12"/>
        <v>19067</v>
      </c>
      <c r="Q19" s="373">
        <v>20992</v>
      </c>
      <c r="R19" s="374">
        <f t="shared" si="13"/>
        <v>-9.1701600609756073E-2</v>
      </c>
    </row>
    <row r="20" spans="1:21" ht="15.95" customHeight="1" thickBot="1">
      <c r="A20" s="79" t="s">
        <v>30</v>
      </c>
      <c r="B20" s="19">
        <v>1798</v>
      </c>
      <c r="C20" s="19">
        <v>1388</v>
      </c>
      <c r="D20" s="19">
        <v>3328</v>
      </c>
      <c r="E20" s="19">
        <v>1829</v>
      </c>
      <c r="F20" s="19">
        <v>2057</v>
      </c>
      <c r="G20" s="26">
        <f t="shared" si="10"/>
        <v>10400</v>
      </c>
      <c r="H20" s="207">
        <f t="shared" si="7"/>
        <v>0.4394489985633398</v>
      </c>
      <c r="I20" s="26">
        <v>1872</v>
      </c>
      <c r="J20" s="19">
        <v>1693</v>
      </c>
      <c r="K20" s="19">
        <v>4814</v>
      </c>
      <c r="L20" s="19">
        <v>2146</v>
      </c>
      <c r="M20" s="19">
        <v>2741</v>
      </c>
      <c r="N20" s="19">
        <f t="shared" si="11"/>
        <v>13266</v>
      </c>
      <c r="O20" s="379">
        <f t="shared" si="9"/>
        <v>0.56055100143666015</v>
      </c>
      <c r="P20" s="375">
        <f t="shared" si="12"/>
        <v>23666</v>
      </c>
      <c r="Q20" s="375">
        <v>25357</v>
      </c>
      <c r="R20" s="380">
        <f t="shared" si="13"/>
        <v>-6.6687699649012111E-2</v>
      </c>
      <c r="U20" s="333"/>
    </row>
    <row r="21" spans="1:21" ht="15.95" customHeight="1">
      <c r="A21" s="403" t="s">
        <v>43</v>
      </c>
      <c r="B21" s="296"/>
      <c r="C21" s="296"/>
      <c r="D21" s="296"/>
      <c r="E21" s="296"/>
      <c r="F21" s="296"/>
      <c r="G21" s="296"/>
      <c r="H21" s="292"/>
      <c r="I21" s="296"/>
      <c r="J21" s="296"/>
      <c r="K21" s="296"/>
      <c r="L21" s="296"/>
      <c r="M21" s="296"/>
      <c r="N21" s="296"/>
      <c r="O21" s="366"/>
      <c r="P21" s="381"/>
      <c r="Q21" s="381"/>
      <c r="R21" s="376"/>
    </row>
    <row r="22" spans="1:21" ht="21.75" customHeight="1" thickBot="1">
      <c r="A22" s="400"/>
      <c r="B22" s="293">
        <f>AVERAGE(B15:B20)</f>
        <v>1629.6666666666667</v>
      </c>
      <c r="C22" s="293">
        <f t="shared" ref="C22:G22" si="14">AVERAGE(C15:C20)</f>
        <v>857.33333333333337</v>
      </c>
      <c r="D22" s="293">
        <f t="shared" si="14"/>
        <v>1159.8333333333333</v>
      </c>
      <c r="E22" s="293">
        <f t="shared" si="14"/>
        <v>1572.1666666666667</v>
      </c>
      <c r="F22" s="293">
        <f t="shared" si="14"/>
        <v>844.83333333333337</v>
      </c>
      <c r="G22" s="293">
        <f t="shared" si="14"/>
        <v>6063.833333333333</v>
      </c>
      <c r="H22" s="362">
        <f>G22/P22</f>
        <v>0.39128237116062975</v>
      </c>
      <c r="I22" s="293">
        <f>AVERAGE(I15:I20)</f>
        <v>2491.8333333333335</v>
      </c>
      <c r="J22" s="293">
        <f t="shared" ref="J22:N22" si="15">AVERAGE(J15:J20)</f>
        <v>1340.3333333333333</v>
      </c>
      <c r="K22" s="293">
        <f t="shared" si="15"/>
        <v>1718.5</v>
      </c>
      <c r="L22" s="293">
        <f t="shared" si="15"/>
        <v>2568.3333333333335</v>
      </c>
      <c r="M22" s="293">
        <f t="shared" si="15"/>
        <v>1314.5</v>
      </c>
      <c r="N22" s="293">
        <f t="shared" si="15"/>
        <v>9433.5</v>
      </c>
      <c r="O22" s="362">
        <f>N22/P22</f>
        <v>0.6087176288393702</v>
      </c>
      <c r="P22" s="305">
        <f>AVERAGE(P15:P20)</f>
        <v>15497.333333333334</v>
      </c>
      <c r="Q22" s="305">
        <f>AVERAGE(Q15:Q20)</f>
        <v>17160.166666666668</v>
      </c>
      <c r="R22" s="365">
        <f>(P22/Q22)-1</f>
        <v>-9.6900768252056624E-2</v>
      </c>
      <c r="U22" s="337"/>
    </row>
    <row r="23" spans="1:21" ht="15.95" customHeight="1">
      <c r="A23" s="399" t="s">
        <v>48</v>
      </c>
      <c r="B23" s="294"/>
      <c r="C23" s="294"/>
      <c r="D23" s="294"/>
      <c r="E23" s="294"/>
      <c r="F23" s="294"/>
      <c r="G23" s="294"/>
      <c r="H23" s="364"/>
      <c r="I23" s="295"/>
      <c r="J23" s="295"/>
      <c r="K23" s="295"/>
      <c r="L23" s="295"/>
      <c r="M23" s="295"/>
      <c r="N23" s="295"/>
      <c r="O23" s="382"/>
      <c r="P23" s="383"/>
      <c r="Q23" s="383"/>
      <c r="R23" s="384"/>
    </row>
    <row r="24" spans="1:21" s="315" customFormat="1" ht="18.75" customHeight="1" thickBot="1">
      <c r="A24" s="400"/>
      <c r="B24" s="305">
        <f>AVERAGE(B14,B22)</f>
        <v>1808.75</v>
      </c>
      <c r="C24" s="305">
        <f t="shared" ref="C24:G24" si="16">AVERAGE(C14,C22)</f>
        <v>1046.0833333333333</v>
      </c>
      <c r="D24" s="305">
        <f t="shared" si="16"/>
        <v>1653.5</v>
      </c>
      <c r="E24" s="305">
        <f t="shared" si="16"/>
        <v>1798.25</v>
      </c>
      <c r="F24" s="305">
        <f t="shared" si="16"/>
        <v>1175.5833333333333</v>
      </c>
      <c r="G24" s="305">
        <f t="shared" si="16"/>
        <v>7482.1666666666661</v>
      </c>
      <c r="H24" s="362">
        <f>G24/P24</f>
        <v>0.4177394816058958</v>
      </c>
      <c r="I24" s="305">
        <f>AVERAGE(I14,I22)</f>
        <v>2408.8333333333335</v>
      </c>
      <c r="J24" s="305">
        <f t="shared" ref="J24:N24" si="17">AVERAGE(J14,J22)</f>
        <v>1439.75</v>
      </c>
      <c r="K24" s="305">
        <f t="shared" si="17"/>
        <v>2407.083333333333</v>
      </c>
      <c r="L24" s="305">
        <f t="shared" si="17"/>
        <v>2497.75</v>
      </c>
      <c r="M24" s="305">
        <f t="shared" si="17"/>
        <v>1675.5</v>
      </c>
      <c r="N24" s="305">
        <f t="shared" si="17"/>
        <v>10428.916666666668</v>
      </c>
      <c r="O24" s="362">
        <f>N24/P24</f>
        <v>0.58226051839410431</v>
      </c>
      <c r="P24" s="305">
        <f>AVERAGE(P14,P22)</f>
        <v>17911.083333333332</v>
      </c>
      <c r="Q24" s="305">
        <f>AVERAGE(Q14,Q22)</f>
        <v>19320.333333333336</v>
      </c>
      <c r="R24" s="365">
        <f>(P24/Q24)-1</f>
        <v>-7.2941288107520763E-2</v>
      </c>
    </row>
    <row r="25" spans="1:2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85"/>
      <c r="P25" s="385"/>
      <c r="Q25" s="385"/>
      <c r="R25" s="385"/>
    </row>
    <row r="26" spans="1:21">
      <c r="A26" s="22"/>
      <c r="B26" s="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5"/>
      <c r="O26" s="323"/>
      <c r="P26" s="323"/>
      <c r="Q26" s="323"/>
      <c r="R26" s="323"/>
    </row>
    <row r="27" spans="1:21">
      <c r="A27" s="1"/>
      <c r="B27" s="5"/>
      <c r="C27" s="3"/>
      <c r="D27" s="2"/>
      <c r="E27" s="2"/>
      <c r="F27" s="1"/>
      <c r="G27" s="1"/>
      <c r="H27" s="1"/>
      <c r="I27" s="1"/>
      <c r="J27" s="1"/>
      <c r="K27" s="1"/>
      <c r="L27" s="4"/>
      <c r="M27" s="4"/>
      <c r="N27" s="25" t="s">
        <v>32</v>
      </c>
      <c r="O27" s="370"/>
      <c r="P27" s="370"/>
      <c r="Q27" s="370"/>
      <c r="R27" s="371"/>
    </row>
    <row r="28" spans="1:21">
      <c r="A28" s="31">
        <v>43153</v>
      </c>
      <c r="B28" s="4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25" t="s">
        <v>11</v>
      </c>
      <c r="O28" s="370"/>
      <c r="P28" s="370"/>
      <c r="Q28" s="370"/>
      <c r="R28" s="371"/>
    </row>
    <row r="29" spans="1:2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23"/>
      <c r="P29" s="323"/>
      <c r="Q29" s="323"/>
      <c r="R29" s="323"/>
    </row>
    <row r="30" spans="1:21">
      <c r="N30" s="1"/>
      <c r="O30" s="323"/>
      <c r="P30" s="323"/>
      <c r="Q30" s="323"/>
      <c r="R30" s="323"/>
    </row>
  </sheetData>
  <mergeCells count="9">
    <mergeCell ref="A23:A24"/>
    <mergeCell ref="B5:H5"/>
    <mergeCell ref="I5:O5"/>
    <mergeCell ref="P1:R1"/>
    <mergeCell ref="A13:A14"/>
    <mergeCell ref="A21:A22"/>
    <mergeCell ref="R5:R6"/>
    <mergeCell ref="A5:A6"/>
    <mergeCell ref="P5:Q5"/>
  </mergeCells>
  <phoneticPr fontId="0" type="noConversion"/>
  <pageMargins left="0" right="0" top="0.98425196850393704" bottom="0.98425196850393704" header="0.51181102362204722" footer="0.51181102362204722"/>
  <pageSetup paperSize="9" scale="9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topLeftCell="A13" workbookViewId="0">
      <selection activeCell="G31" sqref="G31"/>
    </sheetView>
  </sheetViews>
  <sheetFormatPr defaultRowHeight="12.75"/>
  <cols>
    <col min="1" max="1" width="4.85546875" customWidth="1"/>
    <col min="2" max="2" width="59.140625" customWidth="1"/>
    <col min="3" max="3" width="12.85546875" customWidth="1"/>
    <col min="4" max="4" width="12.7109375" customWidth="1"/>
    <col min="5" max="5" width="12.42578125" customWidth="1"/>
    <col min="6" max="6" width="11.42578125" customWidth="1"/>
    <col min="7" max="7" width="11.28515625" bestFit="1" customWidth="1"/>
  </cols>
  <sheetData>
    <row r="1" spans="1:8">
      <c r="A1" s="122" t="s">
        <v>110</v>
      </c>
    </row>
    <row r="2" spans="1:8" ht="6.75" customHeight="1">
      <c r="A2" s="32"/>
    </row>
    <row r="3" spans="1:8" ht="27.75" customHeight="1">
      <c r="A3" s="462" t="s">
        <v>136</v>
      </c>
      <c r="B3" s="462"/>
      <c r="C3" s="462"/>
      <c r="D3" s="462"/>
      <c r="E3" s="462"/>
      <c r="F3" s="462"/>
      <c r="G3" s="462"/>
      <c r="H3" s="462"/>
    </row>
    <row r="4" spans="1:8" ht="12" customHeight="1" thickBot="1">
      <c r="A4" s="461"/>
      <c r="B4" s="461"/>
      <c r="C4" s="461"/>
      <c r="D4" s="461"/>
    </row>
    <row r="5" spans="1:8">
      <c r="A5" s="142"/>
      <c r="B5" s="133"/>
      <c r="C5" s="475" t="s">
        <v>62</v>
      </c>
      <c r="D5" s="464"/>
      <c r="E5" s="464"/>
      <c r="F5" s="464"/>
      <c r="G5" s="464"/>
      <c r="H5" s="465"/>
    </row>
    <row r="6" spans="1:8">
      <c r="A6" s="143" t="s">
        <v>63</v>
      </c>
      <c r="B6" s="134" t="s">
        <v>64</v>
      </c>
      <c r="C6" s="476" t="s">
        <v>65</v>
      </c>
      <c r="D6" s="467"/>
      <c r="E6" s="468" t="s">
        <v>66</v>
      </c>
      <c r="F6" s="468"/>
      <c r="G6" s="463" t="s">
        <v>6</v>
      </c>
      <c r="H6" s="473" t="s">
        <v>116</v>
      </c>
    </row>
    <row r="7" spans="1:8" ht="24.75" customHeight="1" thickBot="1">
      <c r="A7" s="135"/>
      <c r="B7" s="135"/>
      <c r="C7" s="150" t="s">
        <v>67</v>
      </c>
      <c r="D7" s="105" t="s">
        <v>68</v>
      </c>
      <c r="E7" s="105" t="s">
        <v>68</v>
      </c>
      <c r="F7" s="105" t="s">
        <v>69</v>
      </c>
      <c r="G7" s="477"/>
      <c r="H7" s="474"/>
    </row>
    <row r="8" spans="1:8" ht="15" customHeight="1">
      <c r="A8" s="144">
        <v>1</v>
      </c>
      <c r="B8" s="136" t="s">
        <v>70</v>
      </c>
      <c r="C8" s="127">
        <v>0</v>
      </c>
      <c r="D8" s="82">
        <v>0</v>
      </c>
      <c r="E8" s="92">
        <v>1</v>
      </c>
      <c r="F8" s="92">
        <v>94</v>
      </c>
      <c r="G8" s="65">
        <f>SUM(C8+D8+E8+F8)</f>
        <v>95</v>
      </c>
      <c r="H8" s="168">
        <f>G8/G31</f>
        <v>5.252391220213413E-3</v>
      </c>
    </row>
    <row r="9" spans="1:8" ht="15" customHeight="1">
      <c r="A9" s="145">
        <v>2</v>
      </c>
      <c r="B9" s="137" t="s">
        <v>71</v>
      </c>
      <c r="C9" s="128">
        <v>0</v>
      </c>
      <c r="D9" s="63">
        <v>0</v>
      </c>
      <c r="E9" s="64">
        <v>0</v>
      </c>
      <c r="F9" s="64">
        <v>17</v>
      </c>
      <c r="G9" s="65">
        <f t="shared" ref="G9:G30" si="0">SUM(C9+D9+E9+F9)</f>
        <v>17</v>
      </c>
      <c r="H9" s="169">
        <f>G9/G31</f>
        <v>9.3990158677503181E-4</v>
      </c>
    </row>
    <row r="10" spans="1:8" ht="15" customHeight="1">
      <c r="A10" s="145">
        <v>3</v>
      </c>
      <c r="B10" s="137" t="s">
        <v>72</v>
      </c>
      <c r="C10" s="128">
        <v>7</v>
      </c>
      <c r="D10" s="63">
        <v>0</v>
      </c>
      <c r="E10" s="64">
        <v>2</v>
      </c>
      <c r="F10" s="64">
        <v>994</v>
      </c>
      <c r="G10" s="65">
        <f>SUM(C10+D10+E10+F10)</f>
        <v>1003</v>
      </c>
      <c r="H10" s="169">
        <f>G10/G31</f>
        <v>5.5454193619726873E-2</v>
      </c>
    </row>
    <row r="11" spans="1:8" ht="15" customHeight="1">
      <c r="A11" s="145">
        <v>4</v>
      </c>
      <c r="B11" s="137" t="s">
        <v>73</v>
      </c>
      <c r="C11" s="129">
        <v>0</v>
      </c>
      <c r="D11" s="66">
        <v>0</v>
      </c>
      <c r="E11" s="67">
        <v>0</v>
      </c>
      <c r="F11" s="59">
        <v>6</v>
      </c>
      <c r="G11" s="65">
        <f t="shared" si="0"/>
        <v>6</v>
      </c>
      <c r="H11" s="169">
        <f>G11/G31</f>
        <v>3.3172997180295241E-4</v>
      </c>
    </row>
    <row r="12" spans="1:8" ht="26.25" customHeight="1">
      <c r="A12" s="145">
        <v>5</v>
      </c>
      <c r="B12" s="137" t="s">
        <v>74</v>
      </c>
      <c r="C12" s="128">
        <v>0</v>
      </c>
      <c r="D12" s="63">
        <v>0</v>
      </c>
      <c r="E12" s="64">
        <v>0</v>
      </c>
      <c r="F12" s="64">
        <v>8</v>
      </c>
      <c r="G12" s="65">
        <f t="shared" si="0"/>
        <v>8</v>
      </c>
      <c r="H12" s="169">
        <f>G12/G31</f>
        <v>4.4230662907060317E-4</v>
      </c>
    </row>
    <row r="13" spans="1:8" ht="15" customHeight="1">
      <c r="A13" s="145">
        <v>6</v>
      </c>
      <c r="B13" s="137" t="s">
        <v>75</v>
      </c>
      <c r="C13" s="151">
        <v>0</v>
      </c>
      <c r="D13" s="82">
        <v>0</v>
      </c>
      <c r="E13" s="60">
        <v>7</v>
      </c>
      <c r="F13" s="60">
        <v>667</v>
      </c>
      <c r="G13" s="65">
        <f t="shared" si="0"/>
        <v>674</v>
      </c>
      <c r="H13" s="169">
        <f>G13/G31</f>
        <v>3.7264333499198318E-2</v>
      </c>
    </row>
    <row r="14" spans="1:8" ht="24.75" customHeight="1">
      <c r="A14" s="145">
        <v>7</v>
      </c>
      <c r="B14" s="137" t="s">
        <v>76</v>
      </c>
      <c r="C14" s="129">
        <v>0</v>
      </c>
      <c r="D14" s="63">
        <v>46</v>
      </c>
      <c r="E14" s="59">
        <v>27</v>
      </c>
      <c r="F14" s="59">
        <v>3196</v>
      </c>
      <c r="G14" s="65">
        <f t="shared" si="0"/>
        <v>3269</v>
      </c>
      <c r="H14" s="169">
        <f>G14/G31</f>
        <v>0.18073754630397523</v>
      </c>
    </row>
    <row r="15" spans="1:8" ht="15" customHeight="1">
      <c r="A15" s="145">
        <v>8</v>
      </c>
      <c r="B15" s="137" t="s">
        <v>77</v>
      </c>
      <c r="C15" s="129">
        <v>0</v>
      </c>
      <c r="D15" s="63">
        <v>1</v>
      </c>
      <c r="E15" s="58">
        <v>4</v>
      </c>
      <c r="F15" s="59">
        <v>754</v>
      </c>
      <c r="G15" s="65">
        <f t="shared" si="0"/>
        <v>759</v>
      </c>
      <c r="H15" s="169">
        <f>G15/G31</f>
        <v>4.1963841433073482E-2</v>
      </c>
    </row>
    <row r="16" spans="1:8" ht="25.5" customHeight="1">
      <c r="A16" s="145">
        <v>9</v>
      </c>
      <c r="B16" s="137" t="s">
        <v>78</v>
      </c>
      <c r="C16" s="128">
        <v>0</v>
      </c>
      <c r="D16" s="63">
        <v>232</v>
      </c>
      <c r="E16" s="64">
        <v>3015</v>
      </c>
      <c r="F16" s="64">
        <f>2454+4</f>
        <v>2458</v>
      </c>
      <c r="G16" s="65">
        <f t="shared" si="0"/>
        <v>5705</v>
      </c>
      <c r="H16" s="169">
        <f>G16/G31</f>
        <v>0.31541991485597393</v>
      </c>
    </row>
    <row r="17" spans="1:8" ht="15" customHeight="1">
      <c r="A17" s="145">
        <v>10</v>
      </c>
      <c r="B17" s="137" t="s">
        <v>79</v>
      </c>
      <c r="C17" s="128">
        <v>0</v>
      </c>
      <c r="D17" s="63">
        <v>0</v>
      </c>
      <c r="E17" s="64">
        <v>0</v>
      </c>
      <c r="F17" s="64">
        <v>276</v>
      </c>
      <c r="G17" s="65">
        <f t="shared" si="0"/>
        <v>276</v>
      </c>
      <c r="H17" s="169">
        <f>G17/G31</f>
        <v>1.525957870293581E-2</v>
      </c>
    </row>
    <row r="18" spans="1:8" ht="15" customHeight="1">
      <c r="A18" s="145">
        <v>11</v>
      </c>
      <c r="B18" s="137" t="s">
        <v>80</v>
      </c>
      <c r="C18" s="128">
        <v>0</v>
      </c>
      <c r="D18" s="63">
        <v>0</v>
      </c>
      <c r="E18" s="64">
        <v>0</v>
      </c>
      <c r="F18" s="59">
        <v>789</v>
      </c>
      <c r="G18" s="65">
        <f t="shared" si="0"/>
        <v>789</v>
      </c>
      <c r="H18" s="169">
        <f>G18/G31</f>
        <v>4.3622491292088242E-2</v>
      </c>
    </row>
    <row r="19" spans="1:8" ht="15" customHeight="1">
      <c r="A19" s="145">
        <v>12</v>
      </c>
      <c r="B19" s="137" t="s">
        <v>81</v>
      </c>
      <c r="C19" s="128">
        <v>0</v>
      </c>
      <c r="D19" s="63">
        <v>0</v>
      </c>
      <c r="E19" s="64">
        <v>9</v>
      </c>
      <c r="F19" s="64">
        <v>244</v>
      </c>
      <c r="G19" s="65">
        <f t="shared" si="0"/>
        <v>253</v>
      </c>
      <c r="H19" s="169">
        <f>G19/G31</f>
        <v>1.3987947144357827E-2</v>
      </c>
    </row>
    <row r="20" spans="1:8" ht="15" customHeight="1">
      <c r="A20" s="145">
        <v>13</v>
      </c>
      <c r="B20" s="137" t="s">
        <v>82</v>
      </c>
      <c r="C20" s="128">
        <v>0</v>
      </c>
      <c r="D20" s="63">
        <v>0</v>
      </c>
      <c r="E20" s="64">
        <v>0</v>
      </c>
      <c r="F20" s="64">
        <f>710+2</f>
        <v>712</v>
      </c>
      <c r="G20" s="65">
        <f t="shared" si="0"/>
        <v>712</v>
      </c>
      <c r="H20" s="169">
        <f>G20/G31</f>
        <v>3.9365289987283683E-2</v>
      </c>
    </row>
    <row r="21" spans="1:8" ht="15" customHeight="1">
      <c r="A21" s="145">
        <v>14</v>
      </c>
      <c r="B21" s="137" t="s">
        <v>83</v>
      </c>
      <c r="C21" s="128">
        <v>0</v>
      </c>
      <c r="D21" s="63">
        <v>12</v>
      </c>
      <c r="E21" s="64">
        <v>19</v>
      </c>
      <c r="F21" s="64">
        <v>499</v>
      </c>
      <c r="G21" s="65">
        <f t="shared" si="0"/>
        <v>530</v>
      </c>
      <c r="H21" s="169">
        <f>G21/G31</f>
        <v>2.930281417592746E-2</v>
      </c>
    </row>
    <row r="22" spans="1:8" ht="15" customHeight="1">
      <c r="A22" s="146">
        <v>15</v>
      </c>
      <c r="B22" s="137" t="s">
        <v>84</v>
      </c>
      <c r="C22" s="128">
        <v>0</v>
      </c>
      <c r="D22" s="63">
        <v>1</v>
      </c>
      <c r="E22" s="64">
        <v>1</v>
      </c>
      <c r="F22" s="64">
        <v>1547</v>
      </c>
      <c r="G22" s="65">
        <f t="shared" si="0"/>
        <v>1549</v>
      </c>
      <c r="H22" s="169">
        <f>G22/G31</f>
        <v>8.5641621053795539E-2</v>
      </c>
    </row>
    <row r="23" spans="1:8" ht="15" customHeight="1">
      <c r="A23" s="145">
        <v>16</v>
      </c>
      <c r="B23" s="137" t="s">
        <v>85</v>
      </c>
      <c r="C23" s="128">
        <v>0</v>
      </c>
      <c r="D23" s="63">
        <v>1</v>
      </c>
      <c r="E23" s="64">
        <v>0</v>
      </c>
      <c r="F23" s="64">
        <v>268</v>
      </c>
      <c r="G23" s="65">
        <f t="shared" si="0"/>
        <v>269</v>
      </c>
      <c r="H23" s="169">
        <f>G23/G31</f>
        <v>1.4872560402499032E-2</v>
      </c>
    </row>
    <row r="24" spans="1:8" ht="26.25" customHeight="1">
      <c r="A24" s="146">
        <v>17</v>
      </c>
      <c r="B24" s="137" t="s">
        <v>86</v>
      </c>
      <c r="C24" s="128">
        <v>0</v>
      </c>
      <c r="D24" s="63">
        <v>0</v>
      </c>
      <c r="E24" s="64">
        <v>0</v>
      </c>
      <c r="F24" s="64">
        <f>276+1</f>
        <v>277</v>
      </c>
      <c r="G24" s="65">
        <f t="shared" si="0"/>
        <v>277</v>
      </c>
      <c r="H24" s="169">
        <f>G24/G31</f>
        <v>1.5314867031569635E-2</v>
      </c>
    </row>
    <row r="25" spans="1:8" ht="15" customHeight="1">
      <c r="A25" s="145">
        <v>18</v>
      </c>
      <c r="B25" s="138" t="s">
        <v>87</v>
      </c>
      <c r="C25" s="128">
        <v>0</v>
      </c>
      <c r="D25" s="63">
        <v>10</v>
      </c>
      <c r="E25" s="64">
        <v>10</v>
      </c>
      <c r="F25" s="64">
        <v>358</v>
      </c>
      <c r="G25" s="65">
        <f t="shared" si="0"/>
        <v>378</v>
      </c>
      <c r="H25" s="169">
        <f>G25/G31</f>
        <v>2.0898988223586001E-2</v>
      </c>
    </row>
    <row r="26" spans="1:8" ht="15" customHeight="1">
      <c r="A26" s="145">
        <v>19</v>
      </c>
      <c r="B26" s="138" t="s">
        <v>88</v>
      </c>
      <c r="C26" s="128">
        <v>0</v>
      </c>
      <c r="D26" s="63">
        <v>1</v>
      </c>
      <c r="E26" s="64">
        <v>17</v>
      </c>
      <c r="F26" s="64">
        <v>337</v>
      </c>
      <c r="G26" s="65">
        <f t="shared" si="0"/>
        <v>355</v>
      </c>
      <c r="H26" s="169">
        <f>G26/G31</f>
        <v>1.9627356665008016E-2</v>
      </c>
    </row>
    <row r="27" spans="1:8" ht="37.5" customHeight="1">
      <c r="A27" s="146">
        <v>20</v>
      </c>
      <c r="B27" s="138" t="s">
        <v>89</v>
      </c>
      <c r="C27" s="128">
        <v>0</v>
      </c>
      <c r="D27" s="63">
        <v>0</v>
      </c>
      <c r="E27" s="64">
        <v>0</v>
      </c>
      <c r="F27" s="64">
        <v>37</v>
      </c>
      <c r="G27" s="65">
        <f t="shared" si="0"/>
        <v>37</v>
      </c>
      <c r="H27" s="169">
        <f>G27/G31</f>
        <v>2.0456681594515397E-3</v>
      </c>
    </row>
    <row r="28" spans="1:8" ht="15" customHeight="1">
      <c r="A28" s="145">
        <v>21</v>
      </c>
      <c r="B28" s="138" t="s">
        <v>90</v>
      </c>
      <c r="C28" s="128">
        <v>0</v>
      </c>
      <c r="D28" s="63">
        <v>0</v>
      </c>
      <c r="E28" s="64">
        <v>0</v>
      </c>
      <c r="F28" s="64">
        <v>13</v>
      </c>
      <c r="G28" s="65">
        <f t="shared" si="0"/>
        <v>13</v>
      </c>
      <c r="H28" s="169">
        <f>G28/G31</f>
        <v>7.1874827223973017E-4</v>
      </c>
    </row>
    <row r="29" spans="1:8" ht="15" customHeight="1">
      <c r="A29" s="145">
        <v>22</v>
      </c>
      <c r="B29" s="139" t="s">
        <v>91</v>
      </c>
      <c r="C29" s="128">
        <v>0</v>
      </c>
      <c r="D29" s="63">
        <v>0</v>
      </c>
      <c r="E29" s="64">
        <v>25</v>
      </c>
      <c r="F29" s="64">
        <f>1067+19</f>
        <v>1086</v>
      </c>
      <c r="G29" s="65">
        <f t="shared" si="0"/>
        <v>1111</v>
      </c>
      <c r="H29" s="169">
        <f>G29/G31</f>
        <v>6.1425333112180021E-2</v>
      </c>
    </row>
    <row r="30" spans="1:8" ht="15" customHeight="1" thickBot="1">
      <c r="A30" s="297">
        <v>23</v>
      </c>
      <c r="B30" s="140" t="s">
        <v>92</v>
      </c>
      <c r="C30" s="130">
        <v>0</v>
      </c>
      <c r="D30" s="68">
        <v>0</v>
      </c>
      <c r="E30" s="69">
        <v>0</v>
      </c>
      <c r="F30" s="64">
        <v>2</v>
      </c>
      <c r="G30" s="65">
        <f t="shared" si="0"/>
        <v>2</v>
      </c>
      <c r="H30" s="171">
        <f>G30/G31</f>
        <v>1.1057665726765079E-4</v>
      </c>
    </row>
    <row r="31" spans="1:8" ht="15" customHeight="1" thickBot="1">
      <c r="A31" s="298" t="s">
        <v>6</v>
      </c>
      <c r="B31" s="299"/>
      <c r="C31" s="131">
        <f>SUM(C8:C30)</f>
        <v>7</v>
      </c>
      <c r="D31" s="70">
        <f>SUM(D8:D30)</f>
        <v>304</v>
      </c>
      <c r="E31" s="70">
        <f t="shared" ref="E31:H31" si="1">SUM(E8:E30)</f>
        <v>3137</v>
      </c>
      <c r="F31" s="70">
        <f t="shared" si="1"/>
        <v>14639</v>
      </c>
      <c r="G31" s="71">
        <f>SUM(G8:G30)</f>
        <v>18087</v>
      </c>
      <c r="H31" s="156">
        <f t="shared" si="1"/>
        <v>1.0000000000000002</v>
      </c>
    </row>
    <row r="32" spans="1:8">
      <c r="B32" s="39"/>
      <c r="F32" s="87"/>
      <c r="G32" s="88"/>
      <c r="H32" s="11"/>
    </row>
    <row r="33" spans="1:9">
      <c r="A33" s="30" t="s">
        <v>133</v>
      </c>
      <c r="B33" s="30"/>
      <c r="C33" s="30"/>
      <c r="D33" s="30"/>
      <c r="E33" s="30"/>
      <c r="F33" s="77" t="s">
        <v>12</v>
      </c>
      <c r="G33" s="30"/>
      <c r="H33" s="87"/>
      <c r="I33" s="11"/>
    </row>
    <row r="34" spans="1:9">
      <c r="A34" s="89"/>
      <c r="B34" s="31">
        <v>42905</v>
      </c>
      <c r="C34" s="170"/>
      <c r="D34" s="89"/>
      <c r="E34" s="30"/>
      <c r="F34" s="77" t="s">
        <v>93</v>
      </c>
      <c r="G34" s="30"/>
      <c r="H34" s="87"/>
      <c r="I34" s="11"/>
    </row>
    <row r="35" spans="1:9">
      <c r="H35" s="11"/>
    </row>
    <row r="36" spans="1:9">
      <c r="H36" s="11"/>
    </row>
  </sheetData>
  <mergeCells count="7">
    <mergeCell ref="A3:H3"/>
    <mergeCell ref="H6:H7"/>
    <mergeCell ref="C5:H5"/>
    <mergeCell ref="A4:D4"/>
    <mergeCell ref="C6:D6"/>
    <mergeCell ref="E6:F6"/>
    <mergeCell ref="G6:G7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topLeftCell="A8" workbookViewId="0">
      <selection activeCell="N24" sqref="N24"/>
    </sheetView>
  </sheetViews>
  <sheetFormatPr defaultRowHeight="12.75"/>
  <cols>
    <col min="1" max="1" width="5.42578125" customWidth="1"/>
    <col min="2" max="2" width="58" customWidth="1"/>
    <col min="3" max="3" width="12.85546875" bestFit="1" customWidth="1"/>
    <col min="4" max="6" width="12.7109375" customWidth="1"/>
    <col min="7" max="7" width="11" customWidth="1"/>
    <col min="8" max="8" width="13.28515625" customWidth="1"/>
  </cols>
  <sheetData>
    <row r="1" spans="1:8">
      <c r="A1" s="152" t="s">
        <v>111</v>
      </c>
    </row>
    <row r="2" spans="1:8">
      <c r="A2" s="32"/>
    </row>
    <row r="3" spans="1:8" ht="31.5" customHeight="1">
      <c r="A3" s="482" t="s">
        <v>137</v>
      </c>
      <c r="B3" s="482"/>
      <c r="C3" s="482"/>
      <c r="D3" s="482"/>
      <c r="E3" s="482"/>
      <c r="F3" s="482"/>
      <c r="G3" s="482"/>
    </row>
    <row r="4" spans="1:8" ht="9.75" customHeight="1" thickBot="1">
      <c r="A4" s="461"/>
      <c r="B4" s="461"/>
      <c r="C4" s="461"/>
      <c r="D4" s="461"/>
    </row>
    <row r="5" spans="1:8" ht="11.25" customHeight="1">
      <c r="A5" s="142"/>
      <c r="B5" s="133"/>
      <c r="C5" s="480" t="s">
        <v>62</v>
      </c>
      <c r="D5" s="480"/>
      <c r="E5" s="480"/>
      <c r="F5" s="480"/>
      <c r="G5" s="480"/>
      <c r="H5" s="481"/>
    </row>
    <row r="6" spans="1:8" ht="15" customHeight="1">
      <c r="A6" s="143" t="s">
        <v>63</v>
      </c>
      <c r="B6" s="134" t="s">
        <v>64</v>
      </c>
      <c r="C6" s="483" t="s">
        <v>65</v>
      </c>
      <c r="D6" s="476"/>
      <c r="E6" s="484" t="s">
        <v>66</v>
      </c>
      <c r="F6" s="485"/>
      <c r="G6" s="486" t="s">
        <v>6</v>
      </c>
      <c r="H6" s="478" t="s">
        <v>116</v>
      </c>
    </row>
    <row r="7" spans="1:8" ht="23.25" customHeight="1" thickBot="1">
      <c r="A7" s="141"/>
      <c r="B7" s="135"/>
      <c r="C7" s="125" t="s">
        <v>67</v>
      </c>
      <c r="D7" s="126" t="s">
        <v>68</v>
      </c>
      <c r="E7" s="126" t="s">
        <v>68</v>
      </c>
      <c r="F7" s="105" t="s">
        <v>69</v>
      </c>
      <c r="G7" s="487"/>
      <c r="H7" s="479"/>
    </row>
    <row r="8" spans="1:8" ht="18.75" customHeight="1">
      <c r="A8" s="145">
        <v>1</v>
      </c>
      <c r="B8" s="136" t="s">
        <v>70</v>
      </c>
      <c r="C8" s="127">
        <v>0</v>
      </c>
      <c r="D8" s="82">
        <v>0</v>
      </c>
      <c r="E8" s="92">
        <v>1</v>
      </c>
      <c r="F8" s="92">
        <v>110</v>
      </c>
      <c r="G8" s="65">
        <f>SUM(C8+D8+E8+F8)</f>
        <v>111</v>
      </c>
      <c r="H8" s="149">
        <f>G8/G31</f>
        <v>8.2313681868743053E-3</v>
      </c>
    </row>
    <row r="9" spans="1:8" ht="15" customHeight="1">
      <c r="A9" s="145">
        <v>2</v>
      </c>
      <c r="B9" s="137" t="s">
        <v>71</v>
      </c>
      <c r="C9" s="128">
        <v>0</v>
      </c>
      <c r="D9" s="63">
        <v>0</v>
      </c>
      <c r="E9" s="64">
        <v>0</v>
      </c>
      <c r="F9" s="64">
        <v>17</v>
      </c>
      <c r="G9" s="86">
        <f>SUM(C9+D9+E9+F9)</f>
        <v>17</v>
      </c>
      <c r="H9" s="110">
        <f>G9/G31</f>
        <v>1.2606599925843529E-3</v>
      </c>
    </row>
    <row r="10" spans="1:8" ht="15" customHeight="1">
      <c r="A10" s="145">
        <v>3</v>
      </c>
      <c r="B10" s="137" t="s">
        <v>72</v>
      </c>
      <c r="C10" s="128">
        <v>0</v>
      </c>
      <c r="D10" s="63">
        <v>0</v>
      </c>
      <c r="E10" s="64">
        <v>1</v>
      </c>
      <c r="F10" s="64">
        <v>944</v>
      </c>
      <c r="G10" s="86">
        <f t="shared" ref="G10:G30" si="0">SUM(C10+D10+E10+F10)</f>
        <v>945</v>
      </c>
      <c r="H10" s="110">
        <f>G10/G31</f>
        <v>7.0077864293659628E-2</v>
      </c>
    </row>
    <row r="11" spans="1:8" ht="25.5">
      <c r="A11" s="145">
        <v>4</v>
      </c>
      <c r="B11" s="137" t="s">
        <v>73</v>
      </c>
      <c r="C11" s="129">
        <v>0</v>
      </c>
      <c r="D11" s="66">
        <v>0</v>
      </c>
      <c r="E11" s="67">
        <v>0</v>
      </c>
      <c r="F11" s="59">
        <v>7</v>
      </c>
      <c r="G11" s="29">
        <f t="shared" si="0"/>
        <v>7</v>
      </c>
      <c r="H11" s="110">
        <f>G11/G31</f>
        <v>5.1909529106414535E-4</v>
      </c>
    </row>
    <row r="12" spans="1:8" ht="24.75" customHeight="1">
      <c r="A12" s="145">
        <v>5</v>
      </c>
      <c r="B12" s="137" t="s">
        <v>74</v>
      </c>
      <c r="C12" s="128">
        <v>0</v>
      </c>
      <c r="D12" s="63">
        <v>0</v>
      </c>
      <c r="E12" s="64">
        <v>0</v>
      </c>
      <c r="F12" s="64">
        <v>7</v>
      </c>
      <c r="G12" s="29">
        <f t="shared" si="0"/>
        <v>7</v>
      </c>
      <c r="H12" s="110">
        <f>G12/G31</f>
        <v>5.1909529106414535E-4</v>
      </c>
    </row>
    <row r="13" spans="1:8" ht="15" customHeight="1">
      <c r="A13" s="145">
        <v>6</v>
      </c>
      <c r="B13" s="137" t="s">
        <v>75</v>
      </c>
      <c r="C13" s="129">
        <v>0</v>
      </c>
      <c r="D13" s="63">
        <v>0</v>
      </c>
      <c r="E13" s="59">
        <v>5</v>
      </c>
      <c r="F13" s="59">
        <v>660</v>
      </c>
      <c r="G13" s="29">
        <f t="shared" si="0"/>
        <v>665</v>
      </c>
      <c r="H13" s="110">
        <f>G13/G31</f>
        <v>4.9314052651093808E-2</v>
      </c>
    </row>
    <row r="14" spans="1:8" ht="26.25" customHeight="1">
      <c r="A14" s="145">
        <v>7</v>
      </c>
      <c r="B14" s="137" t="s">
        <v>76</v>
      </c>
      <c r="C14" s="129">
        <v>0</v>
      </c>
      <c r="D14" s="63">
        <v>0</v>
      </c>
      <c r="E14" s="59">
        <v>16</v>
      </c>
      <c r="F14" s="59">
        <v>2873</v>
      </c>
      <c r="G14" s="29">
        <f t="shared" si="0"/>
        <v>2889</v>
      </c>
      <c r="H14" s="110">
        <f>G14/G31</f>
        <v>0.21423804226918799</v>
      </c>
    </row>
    <row r="15" spans="1:8" ht="15" customHeight="1">
      <c r="A15" s="145">
        <v>8</v>
      </c>
      <c r="B15" s="137" t="s">
        <v>77</v>
      </c>
      <c r="C15" s="129">
        <v>0</v>
      </c>
      <c r="D15" s="63">
        <v>0</v>
      </c>
      <c r="E15" s="58">
        <v>1</v>
      </c>
      <c r="F15" s="59">
        <v>611</v>
      </c>
      <c r="G15" s="29">
        <f t="shared" si="0"/>
        <v>612</v>
      </c>
      <c r="H15" s="110">
        <f>G15/G31</f>
        <v>4.538375973303671E-2</v>
      </c>
    </row>
    <row r="16" spans="1:8" ht="15" customHeight="1">
      <c r="A16" s="145">
        <v>9</v>
      </c>
      <c r="B16" s="137" t="s">
        <v>78</v>
      </c>
      <c r="C16" s="128">
        <v>0</v>
      </c>
      <c r="D16" s="63">
        <v>2</v>
      </c>
      <c r="E16" s="64">
        <v>1073</v>
      </c>
      <c r="F16" s="64">
        <f>1760+4</f>
        <v>1764</v>
      </c>
      <c r="G16" s="29">
        <f t="shared" si="0"/>
        <v>2839</v>
      </c>
      <c r="H16" s="110">
        <f>G16/G31</f>
        <v>0.21053021876158695</v>
      </c>
    </row>
    <row r="17" spans="1:8" ht="15" customHeight="1">
      <c r="A17" s="145">
        <v>10</v>
      </c>
      <c r="B17" s="137" t="s">
        <v>79</v>
      </c>
      <c r="C17" s="128">
        <v>0</v>
      </c>
      <c r="D17" s="63">
        <v>0</v>
      </c>
      <c r="E17" s="64">
        <v>0</v>
      </c>
      <c r="F17" s="64">
        <v>283</v>
      </c>
      <c r="G17" s="86">
        <f t="shared" si="0"/>
        <v>283</v>
      </c>
      <c r="H17" s="110">
        <f>G17/G31</f>
        <v>2.0986281053021878E-2</v>
      </c>
    </row>
    <row r="18" spans="1:8" ht="15" customHeight="1">
      <c r="A18" s="145">
        <v>11</v>
      </c>
      <c r="B18" s="137" t="s">
        <v>80</v>
      </c>
      <c r="C18" s="128">
        <v>0</v>
      </c>
      <c r="D18" s="63">
        <v>0</v>
      </c>
      <c r="E18" s="64">
        <v>0</v>
      </c>
      <c r="F18" s="59">
        <v>726</v>
      </c>
      <c r="G18" s="29">
        <f t="shared" si="0"/>
        <v>726</v>
      </c>
      <c r="H18" s="110">
        <f>G18/G31</f>
        <v>5.3837597330367075E-2</v>
      </c>
    </row>
    <row r="19" spans="1:8" ht="15" customHeight="1">
      <c r="A19" s="145">
        <v>12</v>
      </c>
      <c r="B19" s="137" t="s">
        <v>81</v>
      </c>
      <c r="C19" s="128">
        <v>0</v>
      </c>
      <c r="D19" s="63">
        <v>0</v>
      </c>
      <c r="E19" s="64">
        <v>9</v>
      </c>
      <c r="F19" s="64">
        <v>222</v>
      </c>
      <c r="G19" s="86">
        <f t="shared" si="0"/>
        <v>231</v>
      </c>
      <c r="H19" s="110">
        <f>G19/G31</f>
        <v>1.7130144605116797E-2</v>
      </c>
    </row>
    <row r="20" spans="1:8" ht="15" customHeight="1">
      <c r="A20" s="145">
        <v>13</v>
      </c>
      <c r="B20" s="137" t="s">
        <v>82</v>
      </c>
      <c r="C20" s="128">
        <v>0</v>
      </c>
      <c r="D20" s="63">
        <v>0</v>
      </c>
      <c r="E20" s="64">
        <v>0</v>
      </c>
      <c r="F20" s="64">
        <f>692+1</f>
        <v>693</v>
      </c>
      <c r="G20" s="86">
        <f t="shared" si="0"/>
        <v>693</v>
      </c>
      <c r="H20" s="110">
        <f>G20/G31</f>
        <v>5.1390433815350391E-2</v>
      </c>
    </row>
    <row r="21" spans="1:8" ht="15" customHeight="1">
      <c r="A21" s="145">
        <v>14</v>
      </c>
      <c r="B21" s="137" t="s">
        <v>83</v>
      </c>
      <c r="C21" s="128">
        <v>0</v>
      </c>
      <c r="D21" s="63">
        <v>0</v>
      </c>
      <c r="E21" s="64">
        <v>8</v>
      </c>
      <c r="F21" s="64">
        <v>415</v>
      </c>
      <c r="G21" s="86">
        <f t="shared" si="0"/>
        <v>423</v>
      </c>
      <c r="H21" s="110">
        <f>G21/G31</f>
        <v>3.1368186874304781E-2</v>
      </c>
    </row>
    <row r="22" spans="1:8" ht="15" customHeight="1">
      <c r="A22" s="146">
        <v>15</v>
      </c>
      <c r="B22" s="137" t="s">
        <v>84</v>
      </c>
      <c r="C22" s="128">
        <v>0</v>
      </c>
      <c r="D22" s="63">
        <v>1</v>
      </c>
      <c r="E22" s="64">
        <v>0</v>
      </c>
      <c r="F22" s="64">
        <v>684</v>
      </c>
      <c r="G22" s="86">
        <f t="shared" si="0"/>
        <v>685</v>
      </c>
      <c r="H22" s="110">
        <f>G22/G31</f>
        <v>5.0797182054134221E-2</v>
      </c>
    </row>
    <row r="23" spans="1:8" ht="15" customHeight="1">
      <c r="A23" s="145">
        <v>16</v>
      </c>
      <c r="B23" s="137" t="s">
        <v>85</v>
      </c>
      <c r="C23" s="128">
        <v>0</v>
      </c>
      <c r="D23" s="63">
        <v>0</v>
      </c>
      <c r="E23" s="64">
        <v>0</v>
      </c>
      <c r="F23" s="64">
        <v>396</v>
      </c>
      <c r="G23" s="29">
        <f t="shared" si="0"/>
        <v>396</v>
      </c>
      <c r="H23" s="110">
        <f>G23/G31</f>
        <v>2.9365962180200222E-2</v>
      </c>
    </row>
    <row r="24" spans="1:8" ht="24.75" customHeight="1">
      <c r="A24" s="146">
        <v>17</v>
      </c>
      <c r="B24" s="137" t="s">
        <v>86</v>
      </c>
      <c r="C24" s="128">
        <v>0</v>
      </c>
      <c r="D24" s="63">
        <v>0</v>
      </c>
      <c r="E24" s="64">
        <v>0</v>
      </c>
      <c r="F24" s="64">
        <v>272</v>
      </c>
      <c r="G24" s="86">
        <f t="shared" si="0"/>
        <v>272</v>
      </c>
      <c r="H24" s="110">
        <f>G24/G31</f>
        <v>2.0170559881349647E-2</v>
      </c>
    </row>
    <row r="25" spans="1:8" ht="15" customHeight="1">
      <c r="A25" s="145">
        <v>18</v>
      </c>
      <c r="B25" s="138" t="s">
        <v>87</v>
      </c>
      <c r="C25" s="128">
        <v>0</v>
      </c>
      <c r="D25" s="63">
        <v>0</v>
      </c>
      <c r="E25" s="64">
        <v>4</v>
      </c>
      <c r="F25" s="64">
        <f>295+1</f>
        <v>296</v>
      </c>
      <c r="G25" s="86">
        <f t="shared" si="0"/>
        <v>300</v>
      </c>
      <c r="H25" s="110">
        <f>G25/G31</f>
        <v>2.224694104560623E-2</v>
      </c>
    </row>
    <row r="26" spans="1:8" ht="15" customHeight="1">
      <c r="A26" s="145">
        <v>19</v>
      </c>
      <c r="B26" s="138" t="s">
        <v>88</v>
      </c>
      <c r="C26" s="128">
        <v>0</v>
      </c>
      <c r="D26" s="63">
        <v>0</v>
      </c>
      <c r="E26" s="64">
        <v>7</v>
      </c>
      <c r="F26" s="64">
        <v>280</v>
      </c>
      <c r="G26" s="86">
        <f t="shared" si="0"/>
        <v>287</v>
      </c>
      <c r="H26" s="110">
        <f>G26/G31</f>
        <v>2.1282906933629959E-2</v>
      </c>
    </row>
    <row r="27" spans="1:8" ht="38.25" customHeight="1">
      <c r="A27" s="146">
        <v>20</v>
      </c>
      <c r="B27" s="138" t="s">
        <v>89</v>
      </c>
      <c r="C27" s="128">
        <v>0</v>
      </c>
      <c r="D27" s="63">
        <v>0</v>
      </c>
      <c r="E27" s="64">
        <v>0</v>
      </c>
      <c r="F27" s="64">
        <v>35</v>
      </c>
      <c r="G27" s="86">
        <f t="shared" si="0"/>
        <v>35</v>
      </c>
      <c r="H27" s="110">
        <f>G27/G31</f>
        <v>2.5954764553207266E-3</v>
      </c>
    </row>
    <row r="28" spans="1:8" ht="15.75" customHeight="1">
      <c r="A28" s="145">
        <v>21</v>
      </c>
      <c r="B28" s="138" t="s">
        <v>90</v>
      </c>
      <c r="C28" s="128">
        <v>0</v>
      </c>
      <c r="D28" s="63">
        <v>0</v>
      </c>
      <c r="E28" s="64">
        <v>0</v>
      </c>
      <c r="F28" s="64">
        <v>15</v>
      </c>
      <c r="G28" s="86">
        <f t="shared" si="0"/>
        <v>15</v>
      </c>
      <c r="H28" s="110">
        <f>G28/G31</f>
        <v>1.1123470522803114E-3</v>
      </c>
    </row>
    <row r="29" spans="1:8">
      <c r="A29" s="145">
        <v>22</v>
      </c>
      <c r="B29" s="139" t="s">
        <v>91</v>
      </c>
      <c r="C29" s="128">
        <v>0</v>
      </c>
      <c r="D29" s="63">
        <v>0</v>
      </c>
      <c r="E29" s="64">
        <v>8</v>
      </c>
      <c r="F29" s="64">
        <f>1016+20</f>
        <v>1036</v>
      </c>
      <c r="G29" s="86">
        <f t="shared" si="0"/>
        <v>1044</v>
      </c>
      <c r="H29" s="110">
        <f>G29/G31</f>
        <v>7.7419354838709681E-2</v>
      </c>
    </row>
    <row r="30" spans="1:8" ht="13.5" thickBot="1">
      <c r="A30" s="145">
        <v>23</v>
      </c>
      <c r="B30" s="140" t="s">
        <v>92</v>
      </c>
      <c r="C30" s="130">
        <v>0</v>
      </c>
      <c r="D30" s="68">
        <v>0</v>
      </c>
      <c r="E30" s="69">
        <v>0</v>
      </c>
      <c r="F30" s="64">
        <v>3</v>
      </c>
      <c r="G30" s="86">
        <f t="shared" si="0"/>
        <v>3</v>
      </c>
      <c r="H30" s="110">
        <f>G30/G31</f>
        <v>2.224694104560623E-4</v>
      </c>
    </row>
    <row r="31" spans="1:8" ht="13.5" thickBot="1">
      <c r="A31" s="147"/>
      <c r="B31" s="132" t="s">
        <v>6</v>
      </c>
      <c r="C31" s="131">
        <f t="shared" ref="C31:H31" si="1">SUM(C8:C30)</f>
        <v>0</v>
      </c>
      <c r="D31" s="70">
        <f>SUM(D8:D30)</f>
        <v>3</v>
      </c>
      <c r="E31" s="70">
        <f t="shared" si="1"/>
        <v>1133</v>
      </c>
      <c r="F31" s="70">
        <f t="shared" si="1"/>
        <v>12349</v>
      </c>
      <c r="G31" s="71">
        <f t="shared" si="1"/>
        <v>13485</v>
      </c>
      <c r="H31" s="148">
        <f t="shared" si="1"/>
        <v>1</v>
      </c>
    </row>
    <row r="32" spans="1:8">
      <c r="B32" s="39"/>
      <c r="F32" s="87"/>
      <c r="G32" s="88"/>
    </row>
    <row r="33" spans="1:9">
      <c r="A33" s="30" t="s">
        <v>133</v>
      </c>
      <c r="B33" s="30"/>
      <c r="C33" s="30"/>
      <c r="D33" s="30"/>
      <c r="E33" s="30"/>
      <c r="F33" s="30"/>
      <c r="G33" s="77" t="s">
        <v>12</v>
      </c>
      <c r="H33" s="30"/>
      <c r="I33" s="87"/>
    </row>
    <row r="34" spans="1:9">
      <c r="A34" s="89"/>
      <c r="B34" s="31">
        <v>42934</v>
      </c>
      <c r="C34" s="172"/>
      <c r="D34" s="172"/>
      <c r="E34" s="89"/>
      <c r="F34" s="30"/>
      <c r="G34" s="77" t="s">
        <v>93</v>
      </c>
      <c r="H34" s="30"/>
      <c r="I34" s="87"/>
    </row>
  </sheetData>
  <mergeCells count="7">
    <mergeCell ref="H6:H7"/>
    <mergeCell ref="C5:H5"/>
    <mergeCell ref="A3:G3"/>
    <mergeCell ref="A4:D4"/>
    <mergeCell ref="C6:D6"/>
    <mergeCell ref="E6:F6"/>
    <mergeCell ref="G6:G7"/>
  </mergeCells>
  <pageMargins left="0" right="0" top="0.35433070866141736" bottom="0.15748031496062992" header="0.31496062992125984" footer="0.31496062992125984"/>
  <pageSetup paperSize="9" scale="9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opLeftCell="A13" workbookViewId="0">
      <selection activeCell="J31" sqref="J31"/>
    </sheetView>
  </sheetViews>
  <sheetFormatPr defaultRowHeight="12.75"/>
  <cols>
    <col min="1" max="1" width="5.42578125" customWidth="1"/>
    <col min="2" max="2" width="53.85546875" customWidth="1"/>
    <col min="3" max="3" width="12.28515625" customWidth="1"/>
    <col min="4" max="4" width="12.42578125" customWidth="1"/>
    <col min="5" max="7" width="12.7109375" customWidth="1"/>
    <col min="8" max="8" width="12" customWidth="1"/>
  </cols>
  <sheetData>
    <row r="1" spans="1:8">
      <c r="A1" s="122" t="s">
        <v>106</v>
      </c>
      <c r="B1" s="24"/>
    </row>
    <row r="2" spans="1:8" ht="28.5" customHeight="1">
      <c r="A2" s="462" t="s">
        <v>138</v>
      </c>
      <c r="B2" s="462"/>
      <c r="C2" s="462"/>
      <c r="D2" s="462"/>
      <c r="E2" s="462"/>
      <c r="F2" s="462"/>
      <c r="G2" s="462"/>
    </row>
    <row r="3" spans="1:8" ht="1.5" customHeight="1" thickBot="1">
      <c r="A3" s="461"/>
      <c r="B3" s="461"/>
      <c r="C3" s="461"/>
    </row>
    <row r="4" spans="1:8" ht="16.5" customHeight="1">
      <c r="A4" s="142"/>
      <c r="B4" s="133"/>
      <c r="C4" s="475" t="s">
        <v>62</v>
      </c>
      <c r="D4" s="464"/>
      <c r="E4" s="464"/>
      <c r="F4" s="464"/>
      <c r="G4" s="464"/>
      <c r="H4" s="465"/>
    </row>
    <row r="5" spans="1:8" ht="16.5" customHeight="1">
      <c r="A5" s="143" t="s">
        <v>63</v>
      </c>
      <c r="B5" s="134" t="s">
        <v>64</v>
      </c>
      <c r="C5" s="476" t="s">
        <v>65</v>
      </c>
      <c r="D5" s="467"/>
      <c r="E5" s="468" t="s">
        <v>66</v>
      </c>
      <c r="F5" s="468"/>
      <c r="G5" s="491" t="s">
        <v>6</v>
      </c>
      <c r="H5" s="488" t="s">
        <v>116</v>
      </c>
    </row>
    <row r="6" spans="1:8" ht="24.75" customHeight="1" thickBot="1">
      <c r="A6" s="135"/>
      <c r="B6" s="135"/>
      <c r="C6" s="150" t="s">
        <v>67</v>
      </c>
      <c r="D6" s="105" t="s">
        <v>68</v>
      </c>
      <c r="E6" s="105" t="s">
        <v>68</v>
      </c>
      <c r="F6" s="105" t="s">
        <v>69</v>
      </c>
      <c r="G6" s="492"/>
      <c r="H6" s="489"/>
    </row>
    <row r="7" spans="1:8" ht="15" customHeight="1">
      <c r="A7" s="144">
        <v>1</v>
      </c>
      <c r="B7" s="136" t="s">
        <v>70</v>
      </c>
      <c r="C7" s="127"/>
      <c r="D7" s="82">
        <v>0</v>
      </c>
      <c r="E7" s="92">
        <v>1</v>
      </c>
      <c r="F7" s="92">
        <v>104</v>
      </c>
      <c r="G7" s="80">
        <f>SUM(C7+D7+E7+F7)</f>
        <v>105</v>
      </c>
      <c r="H7" s="153">
        <f>G7/G30</f>
        <v>8.5407515861395805E-3</v>
      </c>
    </row>
    <row r="8" spans="1:8" ht="1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13</v>
      </c>
      <c r="G8" s="103">
        <f>SUM(C8+D8+E8+F8)</f>
        <v>13</v>
      </c>
      <c r="H8" s="154">
        <f>G8/G30</f>
        <v>1.0574263868553767E-3</v>
      </c>
    </row>
    <row r="9" spans="1:8" ht="15" customHeight="1">
      <c r="A9" s="145">
        <v>3</v>
      </c>
      <c r="B9" s="137" t="s">
        <v>72</v>
      </c>
      <c r="C9" s="128">
        <v>0</v>
      </c>
      <c r="D9" s="63">
        <v>0</v>
      </c>
      <c r="E9" s="64">
        <v>0</v>
      </c>
      <c r="F9" s="64">
        <v>852</v>
      </c>
      <c r="G9" s="103">
        <f t="shared" ref="G9:G29" si="0">SUM(C9+D9+E9+F9)</f>
        <v>852</v>
      </c>
      <c r="H9" s="154">
        <f>G9/G30</f>
        <v>6.9302098584675453E-2</v>
      </c>
    </row>
    <row r="10" spans="1:8" ht="28.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6</v>
      </c>
      <c r="G10" s="104">
        <f t="shared" si="0"/>
        <v>6</v>
      </c>
      <c r="H10" s="154">
        <f>G10/G30</f>
        <v>4.880429477794046E-4</v>
      </c>
    </row>
    <row r="11" spans="1:8" ht="24.75" customHeight="1">
      <c r="A11" s="145">
        <v>5</v>
      </c>
      <c r="B11" s="137" t="s">
        <v>74</v>
      </c>
      <c r="C11" s="128">
        <v>0</v>
      </c>
      <c r="D11" s="63">
        <v>0</v>
      </c>
      <c r="E11" s="64">
        <v>0</v>
      </c>
      <c r="F11" s="64">
        <v>3</v>
      </c>
      <c r="G11" s="104">
        <f t="shared" si="0"/>
        <v>3</v>
      </c>
      <c r="H11" s="154">
        <f>G11/G30</f>
        <v>2.440214738897023E-4</v>
      </c>
    </row>
    <row r="12" spans="1:8" ht="15" customHeight="1">
      <c r="A12" s="145">
        <v>6</v>
      </c>
      <c r="B12" s="137" t="s">
        <v>75</v>
      </c>
      <c r="C12" s="129">
        <v>0</v>
      </c>
      <c r="D12" s="58">
        <v>0</v>
      </c>
      <c r="E12" s="59">
        <v>4</v>
      </c>
      <c r="F12" s="59">
        <v>634</v>
      </c>
      <c r="G12" s="104">
        <f t="shared" si="0"/>
        <v>638</v>
      </c>
      <c r="H12" s="154">
        <f>G12/G30</f>
        <v>5.1895233447210018E-2</v>
      </c>
    </row>
    <row r="13" spans="1:8" ht="15" customHeight="1">
      <c r="A13" s="145">
        <v>7</v>
      </c>
      <c r="B13" s="137" t="s">
        <v>76</v>
      </c>
      <c r="C13" s="129">
        <v>0</v>
      </c>
      <c r="D13" s="58">
        <v>0</v>
      </c>
      <c r="E13" s="59">
        <v>8</v>
      </c>
      <c r="F13" s="59">
        <v>2420</v>
      </c>
      <c r="G13" s="104">
        <f t="shared" si="0"/>
        <v>2428</v>
      </c>
      <c r="H13" s="154">
        <f>G13/G30</f>
        <v>0.19749471286806572</v>
      </c>
    </row>
    <row r="14" spans="1:8" ht="15" customHeight="1">
      <c r="A14" s="145">
        <v>8</v>
      </c>
      <c r="B14" s="137" t="s">
        <v>77</v>
      </c>
      <c r="C14" s="129">
        <v>0</v>
      </c>
      <c r="D14" s="58">
        <v>0</v>
      </c>
      <c r="E14" s="58">
        <v>0</v>
      </c>
      <c r="F14" s="59">
        <f>389+1</f>
        <v>390</v>
      </c>
      <c r="G14" s="104">
        <f t="shared" si="0"/>
        <v>390</v>
      </c>
      <c r="H14" s="154">
        <f>G14/G30</f>
        <v>3.1722791605661299E-2</v>
      </c>
    </row>
    <row r="15" spans="1:8" ht="31.5" customHeight="1">
      <c r="A15" s="145">
        <v>9</v>
      </c>
      <c r="B15" s="137" t="s">
        <v>78</v>
      </c>
      <c r="C15" s="128">
        <v>0</v>
      </c>
      <c r="D15" s="63">
        <v>1</v>
      </c>
      <c r="E15" s="58">
        <v>294</v>
      </c>
      <c r="F15" s="64">
        <f>1124+4</f>
        <v>1128</v>
      </c>
      <c r="G15" s="104">
        <f t="shared" si="0"/>
        <v>1423</v>
      </c>
      <c r="H15" s="154">
        <f>G15/G30</f>
        <v>0.11574751911501545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0</v>
      </c>
      <c r="F16" s="64">
        <v>341</v>
      </c>
      <c r="G16" s="103">
        <f t="shared" si="0"/>
        <v>341</v>
      </c>
      <c r="H16" s="154">
        <f>G16/G30</f>
        <v>2.7737107532129494E-2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v>646</v>
      </c>
      <c r="G17" s="104">
        <f t="shared" si="0"/>
        <v>646</v>
      </c>
      <c r="H17" s="154">
        <f>G17/G30</f>
        <v>5.254595737758256E-2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7</v>
      </c>
      <c r="F18" s="64">
        <v>179</v>
      </c>
      <c r="G18" s="103">
        <f t="shared" si="0"/>
        <v>186</v>
      </c>
      <c r="H18" s="154">
        <f>G18/G30</f>
        <v>1.5129331381161543E-2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f>631+1</f>
        <v>632</v>
      </c>
      <c r="G19" s="103">
        <f t="shared" si="0"/>
        <v>632</v>
      </c>
      <c r="H19" s="154">
        <f>G19/G30</f>
        <v>5.1407190499430613E-2</v>
      </c>
    </row>
    <row r="20" spans="1:8" ht="15" customHeight="1">
      <c r="A20" s="145">
        <v>14</v>
      </c>
      <c r="B20" s="137" t="s">
        <v>83</v>
      </c>
      <c r="C20" s="128">
        <v>0</v>
      </c>
      <c r="D20" s="63">
        <v>0</v>
      </c>
      <c r="E20" s="64">
        <v>0</v>
      </c>
      <c r="F20" s="64">
        <v>296</v>
      </c>
      <c r="G20" s="103">
        <f t="shared" si="0"/>
        <v>296</v>
      </c>
      <c r="H20" s="154">
        <f>G20/G30</f>
        <v>2.4076785423783959E-2</v>
      </c>
    </row>
    <row r="21" spans="1:8" ht="15" customHeight="1">
      <c r="A21" s="146">
        <v>15</v>
      </c>
      <c r="B21" s="137" t="s">
        <v>84</v>
      </c>
      <c r="C21" s="128">
        <v>0</v>
      </c>
      <c r="D21" s="63">
        <v>0</v>
      </c>
      <c r="E21" s="64">
        <v>0</v>
      </c>
      <c r="F21" s="64">
        <v>1058</v>
      </c>
      <c r="G21" s="103">
        <f t="shared" si="0"/>
        <v>1058</v>
      </c>
      <c r="H21" s="154">
        <f>G21/G30</f>
        <v>8.605823979176834E-2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0</v>
      </c>
      <c r="E22" s="64">
        <v>0</v>
      </c>
      <c r="F22" s="64">
        <v>1366</v>
      </c>
      <c r="G22" s="104">
        <f t="shared" si="0"/>
        <v>1366</v>
      </c>
      <c r="H22" s="154">
        <f>G22/G30</f>
        <v>0.1111111111111111</v>
      </c>
    </row>
    <row r="23" spans="1:8" ht="27" customHeight="1">
      <c r="A23" s="146">
        <v>17</v>
      </c>
      <c r="B23" s="137" t="s">
        <v>86</v>
      </c>
      <c r="C23" s="128">
        <v>0</v>
      </c>
      <c r="D23" s="63">
        <v>0</v>
      </c>
      <c r="E23" s="64">
        <v>0</v>
      </c>
      <c r="F23" s="64">
        <v>257</v>
      </c>
      <c r="G23" s="103">
        <f t="shared" si="0"/>
        <v>257</v>
      </c>
      <c r="H23" s="154">
        <f>G23/G30</f>
        <v>2.0904506263217829E-2</v>
      </c>
    </row>
    <row r="24" spans="1:8" ht="15" customHeight="1">
      <c r="A24" s="145">
        <v>18</v>
      </c>
      <c r="B24" s="138" t="s">
        <v>87</v>
      </c>
      <c r="C24" s="128">
        <v>0</v>
      </c>
      <c r="D24" s="63">
        <v>0</v>
      </c>
      <c r="E24" s="64">
        <v>2</v>
      </c>
      <c r="F24" s="64">
        <f>232+2</f>
        <v>234</v>
      </c>
      <c r="G24" s="103">
        <f t="shared" si="0"/>
        <v>236</v>
      </c>
      <c r="H24" s="154">
        <f>G24/G30</f>
        <v>1.9196355945989913E-2</v>
      </c>
    </row>
    <row r="25" spans="1:8" ht="15" customHeight="1">
      <c r="A25" s="145">
        <v>19</v>
      </c>
      <c r="B25" s="138" t="s">
        <v>88</v>
      </c>
      <c r="C25" s="128">
        <v>0</v>
      </c>
      <c r="D25" s="63">
        <v>0</v>
      </c>
      <c r="E25" s="64">
        <v>4</v>
      </c>
      <c r="F25" s="64">
        <v>293</v>
      </c>
      <c r="G25" s="103">
        <f t="shared" si="0"/>
        <v>297</v>
      </c>
      <c r="H25" s="154">
        <f>G25/G30</f>
        <v>2.4158125915080528E-2</v>
      </c>
    </row>
    <row r="26" spans="1:8" ht="38.25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33</v>
      </c>
      <c r="G26" s="106">
        <f t="shared" si="0"/>
        <v>33</v>
      </c>
      <c r="H26" s="154">
        <f>G26/G30</f>
        <v>2.6842362127867253E-3</v>
      </c>
    </row>
    <row r="27" spans="1:8" ht="1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17</v>
      </c>
      <c r="G27" s="103">
        <f t="shared" si="0"/>
        <v>17</v>
      </c>
      <c r="H27" s="154">
        <f>G27/G30</f>
        <v>1.3827883520416463E-3</v>
      </c>
    </row>
    <row r="28" spans="1:8" ht="15" customHeight="1">
      <c r="A28" s="145">
        <v>22</v>
      </c>
      <c r="B28" s="139" t="s">
        <v>91</v>
      </c>
      <c r="C28" s="128">
        <v>0</v>
      </c>
      <c r="D28" s="63">
        <v>0</v>
      </c>
      <c r="E28" s="64">
        <v>1</v>
      </c>
      <c r="F28" s="64">
        <f>1047+19</f>
        <v>1066</v>
      </c>
      <c r="G28" s="103">
        <f t="shared" si="0"/>
        <v>1067</v>
      </c>
      <c r="H28" s="154">
        <f>G28/G30</f>
        <v>8.6790304213437447E-2</v>
      </c>
    </row>
    <row r="29" spans="1:8" ht="15" customHeight="1" thickBot="1">
      <c r="A29" s="145">
        <v>23</v>
      </c>
      <c r="B29" s="140" t="s">
        <v>92</v>
      </c>
      <c r="C29" s="130">
        <v>0</v>
      </c>
      <c r="D29" s="68">
        <v>0</v>
      </c>
      <c r="E29" s="69">
        <v>0</v>
      </c>
      <c r="F29" s="69">
        <v>4</v>
      </c>
      <c r="G29" s="106">
        <f t="shared" si="0"/>
        <v>4</v>
      </c>
      <c r="H29" s="155">
        <f>G29/G30</f>
        <v>3.253619651862697E-4</v>
      </c>
    </row>
    <row r="30" spans="1:8" ht="15" customHeight="1" thickBot="1">
      <c r="A30" s="147"/>
      <c r="B30" s="132" t="s">
        <v>6</v>
      </c>
      <c r="C30" s="131">
        <f t="shared" ref="C30:H30" si="1">SUM(C7:C29)</f>
        <v>0</v>
      </c>
      <c r="D30" s="70">
        <f t="shared" si="1"/>
        <v>1</v>
      </c>
      <c r="E30" s="70">
        <f>SUM(E7:E29)</f>
        <v>321</v>
      </c>
      <c r="F30" s="70">
        <f t="shared" si="1"/>
        <v>11972</v>
      </c>
      <c r="G30" s="81">
        <f t="shared" si="1"/>
        <v>12294</v>
      </c>
      <c r="H30" s="156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0" t="s">
        <v>139</v>
      </c>
      <c r="B32" s="39"/>
      <c r="F32" s="87" t="s">
        <v>12</v>
      </c>
    </row>
    <row r="33" spans="1:6">
      <c r="A33" s="490">
        <v>42977</v>
      </c>
      <c r="B33" s="490"/>
      <c r="F33" s="87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G30" sqref="G30"/>
    </sheetView>
  </sheetViews>
  <sheetFormatPr defaultRowHeight="12.75"/>
  <cols>
    <col min="1" max="1" width="5.28515625" customWidth="1"/>
    <col min="2" max="2" width="50.85546875" customWidth="1"/>
    <col min="3" max="7" width="12.7109375" customWidth="1"/>
    <col min="8" max="8" width="13.28515625" customWidth="1"/>
  </cols>
  <sheetData>
    <row r="1" spans="1:8">
      <c r="A1" s="122" t="s">
        <v>105</v>
      </c>
      <c r="B1" s="24"/>
    </row>
    <row r="2" spans="1:8" ht="26.25" customHeight="1">
      <c r="A2" s="462" t="s">
        <v>140</v>
      </c>
      <c r="B2" s="462"/>
      <c r="C2" s="462"/>
      <c r="D2" s="462"/>
      <c r="E2" s="462"/>
      <c r="F2" s="462"/>
      <c r="G2" s="462"/>
    </row>
    <row r="3" spans="1:8" ht="16.5" thickBot="1">
      <c r="A3" s="461"/>
      <c r="B3" s="461"/>
      <c r="C3" s="461"/>
    </row>
    <row r="4" spans="1:8" ht="18" customHeight="1">
      <c r="A4" s="142"/>
      <c r="B4" s="133"/>
      <c r="C4" s="475" t="s">
        <v>62</v>
      </c>
      <c r="D4" s="464"/>
      <c r="E4" s="464"/>
      <c r="F4" s="464"/>
      <c r="G4" s="464"/>
      <c r="H4" s="495"/>
    </row>
    <row r="5" spans="1:8" ht="18.75" customHeight="1">
      <c r="A5" s="143" t="s">
        <v>63</v>
      </c>
      <c r="B5" s="134" t="s">
        <v>64</v>
      </c>
      <c r="C5" s="476" t="s">
        <v>65</v>
      </c>
      <c r="D5" s="467"/>
      <c r="E5" s="468" t="s">
        <v>66</v>
      </c>
      <c r="F5" s="468"/>
      <c r="G5" s="469" t="s">
        <v>6</v>
      </c>
      <c r="H5" s="493" t="s">
        <v>116</v>
      </c>
    </row>
    <row r="6" spans="1:8" ht="24.75" customHeight="1" thickBot="1">
      <c r="A6" s="135"/>
      <c r="B6" s="135"/>
      <c r="C6" s="150" t="s">
        <v>67</v>
      </c>
      <c r="D6" s="105" t="s">
        <v>68</v>
      </c>
      <c r="E6" s="105" t="s">
        <v>68</v>
      </c>
      <c r="F6" s="105" t="s">
        <v>69</v>
      </c>
      <c r="G6" s="497"/>
      <c r="H6" s="494"/>
    </row>
    <row r="7" spans="1:8" ht="15" customHeight="1">
      <c r="A7" s="144">
        <v>1</v>
      </c>
      <c r="B7" s="136" t="s">
        <v>70</v>
      </c>
      <c r="C7" s="127">
        <v>0</v>
      </c>
      <c r="D7" s="82">
        <v>0</v>
      </c>
      <c r="E7" s="92">
        <v>0</v>
      </c>
      <c r="F7" s="92">
        <v>107</v>
      </c>
      <c r="G7" s="80">
        <f>SUM(C7+D7+E7+F7)</f>
        <v>107</v>
      </c>
      <c r="H7" s="109">
        <f>G7/G30</f>
        <v>7.664756446991404E-3</v>
      </c>
    </row>
    <row r="8" spans="1:8" ht="1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12</v>
      </c>
      <c r="G8" s="103">
        <f>SUM(C8+D8+E8+F8)</f>
        <v>12</v>
      </c>
      <c r="H8" s="110">
        <f>G8/G30</f>
        <v>8.5959885386819484E-4</v>
      </c>
    </row>
    <row r="9" spans="1:8" ht="15" customHeight="1">
      <c r="A9" s="145">
        <v>3</v>
      </c>
      <c r="B9" s="137" t="s">
        <v>72</v>
      </c>
      <c r="C9" s="128">
        <v>0</v>
      </c>
      <c r="D9" s="63">
        <v>0</v>
      </c>
      <c r="E9" s="64">
        <v>0</v>
      </c>
      <c r="F9" s="64">
        <v>851</v>
      </c>
      <c r="G9" s="103">
        <f t="shared" ref="G9:G29" si="0">SUM(C9+D9+E9+F9)</f>
        <v>851</v>
      </c>
      <c r="H9" s="110">
        <f>G9/G30</f>
        <v>6.0959885386819485E-2</v>
      </c>
    </row>
    <row r="10" spans="1:8" ht="1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6</v>
      </c>
      <c r="G10" s="104">
        <f t="shared" si="0"/>
        <v>6</v>
      </c>
      <c r="H10" s="110">
        <f>G10/G30</f>
        <v>4.2979942693409742E-4</v>
      </c>
    </row>
    <row r="11" spans="1:8" ht="24.75" customHeight="1">
      <c r="A11" s="145">
        <v>5</v>
      </c>
      <c r="B11" s="137" t="s">
        <v>74</v>
      </c>
      <c r="C11" s="128">
        <v>0</v>
      </c>
      <c r="D11" s="63">
        <v>0</v>
      </c>
      <c r="E11" s="64">
        <v>0</v>
      </c>
      <c r="F11" s="64">
        <v>4</v>
      </c>
      <c r="G11" s="104">
        <f t="shared" si="0"/>
        <v>4</v>
      </c>
      <c r="H11" s="110">
        <f>G11/G30</f>
        <v>2.8653295128939826E-4</v>
      </c>
    </row>
    <row r="12" spans="1:8" ht="15" customHeight="1">
      <c r="A12" s="145">
        <v>6</v>
      </c>
      <c r="B12" s="137" t="s">
        <v>75</v>
      </c>
      <c r="C12" s="129">
        <v>0</v>
      </c>
      <c r="D12" s="58">
        <v>0</v>
      </c>
      <c r="E12" s="59">
        <v>3</v>
      </c>
      <c r="F12" s="59">
        <f>659+2</f>
        <v>661</v>
      </c>
      <c r="G12" s="104">
        <f t="shared" si="0"/>
        <v>664</v>
      </c>
      <c r="H12" s="110">
        <f>G12/G30</f>
        <v>4.7564469914040113E-2</v>
      </c>
    </row>
    <row r="13" spans="1:8" ht="24.75" customHeight="1">
      <c r="A13" s="145">
        <v>7</v>
      </c>
      <c r="B13" s="137" t="s">
        <v>76</v>
      </c>
      <c r="C13" s="129">
        <v>0</v>
      </c>
      <c r="D13" s="58">
        <v>0</v>
      </c>
      <c r="E13" s="59">
        <v>9</v>
      </c>
      <c r="F13" s="59">
        <f>2444+2</f>
        <v>2446</v>
      </c>
      <c r="G13" s="104">
        <f t="shared" si="0"/>
        <v>2455</v>
      </c>
      <c r="H13" s="110">
        <f>G13/G30</f>
        <v>0.1758595988538682</v>
      </c>
    </row>
    <row r="14" spans="1:8" ht="15" customHeight="1">
      <c r="A14" s="145">
        <v>8</v>
      </c>
      <c r="B14" s="137" t="s">
        <v>77</v>
      </c>
      <c r="C14" s="129">
        <v>0</v>
      </c>
      <c r="D14" s="58">
        <v>0</v>
      </c>
      <c r="E14" s="58">
        <v>0</v>
      </c>
      <c r="F14" s="59">
        <v>393</v>
      </c>
      <c r="G14" s="104">
        <f t="shared" si="0"/>
        <v>393</v>
      </c>
      <c r="H14" s="110">
        <f>G14/G30</f>
        <v>2.8151862464183382E-2</v>
      </c>
    </row>
    <row r="15" spans="1:8" ht="15" customHeight="1">
      <c r="A15" s="145">
        <v>9</v>
      </c>
      <c r="B15" s="137" t="s">
        <v>78</v>
      </c>
      <c r="C15" s="128">
        <v>0</v>
      </c>
      <c r="D15" s="63">
        <v>1</v>
      </c>
      <c r="E15" s="58">
        <v>231</v>
      </c>
      <c r="F15" s="64">
        <f>1089+4</f>
        <v>1093</v>
      </c>
      <c r="G15" s="104">
        <f t="shared" si="0"/>
        <v>1325</v>
      </c>
      <c r="H15" s="110">
        <f>G15/G30</f>
        <v>9.4914040114613185E-2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0</v>
      </c>
      <c r="F16" s="64">
        <f>358+1</f>
        <v>359</v>
      </c>
      <c r="G16" s="103">
        <f t="shared" si="0"/>
        <v>359</v>
      </c>
      <c r="H16" s="110">
        <f>G16/G30</f>
        <v>2.5716332378223496E-2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v>596</v>
      </c>
      <c r="G17" s="104">
        <f t="shared" si="0"/>
        <v>596</v>
      </c>
      <c r="H17" s="110">
        <f>G17/G30</f>
        <v>4.2693409742120346E-2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7</v>
      </c>
      <c r="F18" s="64">
        <v>163</v>
      </c>
      <c r="G18" s="103">
        <f t="shared" si="0"/>
        <v>170</v>
      </c>
      <c r="H18" s="110">
        <f>G18/G30</f>
        <v>1.2177650429799427E-2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f>655+1</f>
        <v>656</v>
      </c>
      <c r="G19" s="103">
        <f t="shared" si="0"/>
        <v>656</v>
      </c>
      <c r="H19" s="110">
        <f>G19/G30</f>
        <v>4.6991404011461319E-2</v>
      </c>
    </row>
    <row r="20" spans="1:8" ht="15" customHeight="1">
      <c r="A20" s="145">
        <v>14</v>
      </c>
      <c r="B20" s="137" t="s">
        <v>83</v>
      </c>
      <c r="C20" s="128">
        <v>0</v>
      </c>
      <c r="D20" s="63">
        <v>0</v>
      </c>
      <c r="E20" s="64">
        <v>0</v>
      </c>
      <c r="F20" s="64">
        <v>297</v>
      </c>
      <c r="G20" s="103">
        <f t="shared" si="0"/>
        <v>297</v>
      </c>
      <c r="H20" s="110">
        <f>G20/G30</f>
        <v>2.1275071633237823E-2</v>
      </c>
    </row>
    <row r="21" spans="1:8" ht="15" customHeight="1">
      <c r="A21" s="146">
        <v>15</v>
      </c>
      <c r="B21" s="137" t="s">
        <v>84</v>
      </c>
      <c r="C21" s="128">
        <v>0</v>
      </c>
      <c r="D21" s="63">
        <v>0</v>
      </c>
      <c r="E21" s="64">
        <v>0</v>
      </c>
      <c r="F21" s="64">
        <v>1677</v>
      </c>
      <c r="G21" s="103">
        <f t="shared" si="0"/>
        <v>1677</v>
      </c>
      <c r="H21" s="110">
        <f>G21/G30</f>
        <v>0.12012893982808023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0</v>
      </c>
      <c r="E22" s="64">
        <v>0</v>
      </c>
      <c r="F22" s="64">
        <v>2341</v>
      </c>
      <c r="G22" s="104">
        <f t="shared" si="0"/>
        <v>2341</v>
      </c>
      <c r="H22" s="110">
        <f>G22/G30</f>
        <v>0.16769340974212035</v>
      </c>
    </row>
    <row r="23" spans="1:8" ht="24.75" customHeight="1">
      <c r="A23" s="146">
        <v>17</v>
      </c>
      <c r="B23" s="137" t="s">
        <v>86</v>
      </c>
      <c r="C23" s="128">
        <v>0</v>
      </c>
      <c r="D23" s="63">
        <v>0</v>
      </c>
      <c r="E23" s="64">
        <v>1</v>
      </c>
      <c r="F23" s="64">
        <v>284</v>
      </c>
      <c r="G23" s="103">
        <f t="shared" si="0"/>
        <v>285</v>
      </c>
      <c r="H23" s="110">
        <f>G23/G30</f>
        <v>2.0415472779369628E-2</v>
      </c>
    </row>
    <row r="24" spans="1:8" ht="15" customHeight="1">
      <c r="A24" s="145">
        <v>18</v>
      </c>
      <c r="B24" s="138" t="s">
        <v>87</v>
      </c>
      <c r="C24" s="128">
        <v>0</v>
      </c>
      <c r="D24" s="63">
        <v>0</v>
      </c>
      <c r="E24" s="64">
        <v>2</v>
      </c>
      <c r="F24" s="64">
        <f>231+1</f>
        <v>232</v>
      </c>
      <c r="G24" s="103">
        <f t="shared" si="0"/>
        <v>234</v>
      </c>
      <c r="H24" s="110">
        <f>G24/G30</f>
        <v>1.67621776504298E-2</v>
      </c>
    </row>
    <row r="25" spans="1:8" ht="15" customHeight="1">
      <c r="A25" s="145">
        <v>19</v>
      </c>
      <c r="B25" s="138" t="s">
        <v>88</v>
      </c>
      <c r="C25" s="128">
        <v>0</v>
      </c>
      <c r="D25" s="63">
        <v>0</v>
      </c>
      <c r="E25" s="64">
        <v>4</v>
      </c>
      <c r="F25" s="64">
        <v>385</v>
      </c>
      <c r="G25" s="103">
        <f t="shared" si="0"/>
        <v>389</v>
      </c>
      <c r="H25" s="110">
        <f>G25/G30</f>
        <v>2.7865329512893982E-2</v>
      </c>
    </row>
    <row r="26" spans="1:8" ht="39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31</v>
      </c>
      <c r="G26" s="106">
        <f t="shared" si="0"/>
        <v>31</v>
      </c>
      <c r="H26" s="110">
        <f>G26/G30</f>
        <v>2.2206303724928368E-3</v>
      </c>
    </row>
    <row r="27" spans="1:8" ht="1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17</v>
      </c>
      <c r="G27" s="103">
        <f t="shared" si="0"/>
        <v>17</v>
      </c>
      <c r="H27" s="110">
        <f>G27/G30</f>
        <v>1.2177650429799427E-3</v>
      </c>
    </row>
    <row r="28" spans="1:8" ht="15" customHeight="1">
      <c r="A28" s="145">
        <v>22</v>
      </c>
      <c r="B28" s="139" t="s">
        <v>91</v>
      </c>
      <c r="C28" s="128">
        <v>0</v>
      </c>
      <c r="D28" s="63">
        <v>0</v>
      </c>
      <c r="E28" s="64">
        <v>0</v>
      </c>
      <c r="F28" s="64">
        <f>1067+19</f>
        <v>1086</v>
      </c>
      <c r="G28" s="103">
        <f t="shared" si="0"/>
        <v>1086</v>
      </c>
      <c r="H28" s="110">
        <f>G28/G30</f>
        <v>7.7793696275071628E-2</v>
      </c>
    </row>
    <row r="29" spans="1:8" ht="15" customHeight="1" thickBot="1">
      <c r="A29" s="145">
        <v>23</v>
      </c>
      <c r="B29" s="140" t="s">
        <v>92</v>
      </c>
      <c r="C29" s="130">
        <v>0</v>
      </c>
      <c r="D29" s="68">
        <v>0</v>
      </c>
      <c r="E29" s="69">
        <v>0</v>
      </c>
      <c r="F29" s="69">
        <v>5</v>
      </c>
      <c r="G29" s="106">
        <f t="shared" si="0"/>
        <v>5</v>
      </c>
      <c r="H29" s="157">
        <f>G29/G30</f>
        <v>3.5816618911174784E-4</v>
      </c>
    </row>
    <row r="30" spans="1:8" ht="15" customHeight="1" thickBot="1">
      <c r="A30" s="147"/>
      <c r="B30" s="132" t="s">
        <v>6</v>
      </c>
      <c r="C30" s="131">
        <f t="shared" ref="C30:H30" si="1">SUM(C7:C29)</f>
        <v>0</v>
      </c>
      <c r="D30" s="70">
        <f t="shared" si="1"/>
        <v>1</v>
      </c>
      <c r="E30" s="70">
        <f t="shared" si="1"/>
        <v>257</v>
      </c>
      <c r="F30" s="70">
        <f t="shared" si="1"/>
        <v>13702</v>
      </c>
      <c r="G30" s="81">
        <f t="shared" si="1"/>
        <v>13960</v>
      </c>
      <c r="H30" s="156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0" t="s">
        <v>141</v>
      </c>
      <c r="B32" s="39"/>
      <c r="F32" s="87" t="s">
        <v>12</v>
      </c>
    </row>
    <row r="33" spans="1:6">
      <c r="A33" s="496">
        <v>42998</v>
      </c>
      <c r="B33" s="496"/>
      <c r="F33" s="87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11811023622047245" right="0.11811023622047245" top="0.35433070866141736" bottom="0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34"/>
  <sheetViews>
    <sheetView topLeftCell="A2" workbookViewId="0">
      <selection activeCell="H31" sqref="H31"/>
    </sheetView>
  </sheetViews>
  <sheetFormatPr defaultRowHeight="12.75"/>
  <cols>
    <col min="1" max="1" width="5.42578125" customWidth="1"/>
    <col min="2" max="2" width="55.5703125" customWidth="1"/>
    <col min="3" max="7" width="12.7109375" customWidth="1"/>
    <col min="8" max="8" width="11.7109375" customWidth="1"/>
  </cols>
  <sheetData>
    <row r="2" spans="1:8">
      <c r="A2" s="122" t="s">
        <v>112</v>
      </c>
      <c r="B2" s="24"/>
    </row>
    <row r="3" spans="1:8" ht="27" customHeight="1">
      <c r="A3" s="462" t="s">
        <v>142</v>
      </c>
      <c r="B3" s="462"/>
      <c r="C3" s="462"/>
      <c r="D3" s="462"/>
      <c r="E3" s="462"/>
      <c r="F3" s="462"/>
      <c r="G3" s="462"/>
    </row>
    <row r="4" spans="1:8" ht="16.5" thickBot="1">
      <c r="A4" s="461"/>
      <c r="B4" s="461"/>
      <c r="C4" s="461"/>
    </row>
    <row r="5" spans="1:8" ht="16.5" customHeight="1">
      <c r="A5" s="142"/>
      <c r="B5" s="133"/>
      <c r="C5" s="475" t="s">
        <v>62</v>
      </c>
      <c r="D5" s="464"/>
      <c r="E5" s="464"/>
      <c r="F5" s="464"/>
      <c r="G5" s="464"/>
      <c r="H5" s="158"/>
    </row>
    <row r="6" spans="1:8">
      <c r="A6" s="143" t="s">
        <v>63</v>
      </c>
      <c r="B6" s="134" t="s">
        <v>64</v>
      </c>
      <c r="C6" s="476" t="s">
        <v>65</v>
      </c>
      <c r="D6" s="467"/>
      <c r="E6" s="468" t="s">
        <v>66</v>
      </c>
      <c r="F6" s="468"/>
      <c r="G6" s="469" t="s">
        <v>6</v>
      </c>
      <c r="H6" s="498" t="s">
        <v>116</v>
      </c>
    </row>
    <row r="7" spans="1:8" ht="27" customHeight="1" thickBot="1">
      <c r="A7" s="135"/>
      <c r="B7" s="135"/>
      <c r="C7" s="150" t="s">
        <v>67</v>
      </c>
      <c r="D7" s="105" t="s">
        <v>68</v>
      </c>
      <c r="E7" s="105" t="s">
        <v>68</v>
      </c>
      <c r="F7" s="105" t="s">
        <v>69</v>
      </c>
      <c r="G7" s="497"/>
      <c r="H7" s="499"/>
    </row>
    <row r="8" spans="1:8" ht="15" customHeight="1">
      <c r="A8" s="144">
        <v>1</v>
      </c>
      <c r="B8" s="136" t="s">
        <v>70</v>
      </c>
      <c r="C8" s="127">
        <v>0</v>
      </c>
      <c r="D8" s="82">
        <v>0</v>
      </c>
      <c r="E8" s="92">
        <v>0</v>
      </c>
      <c r="F8" s="92">
        <v>99</v>
      </c>
      <c r="G8" s="80">
        <f>SUM(C8+D8+E8+F8)</f>
        <v>99</v>
      </c>
      <c r="H8" s="109">
        <f>G8/G31</f>
        <v>7.1044133476856836E-3</v>
      </c>
    </row>
    <row r="9" spans="1:8" ht="15" customHeight="1">
      <c r="A9" s="145">
        <v>2</v>
      </c>
      <c r="B9" s="137" t="s">
        <v>71</v>
      </c>
      <c r="C9" s="128">
        <v>0</v>
      </c>
      <c r="D9" s="63">
        <v>0</v>
      </c>
      <c r="E9" s="64">
        <v>0</v>
      </c>
      <c r="F9" s="64">
        <v>11</v>
      </c>
      <c r="G9" s="103">
        <f>SUM(C9+D9+E9+F9)</f>
        <v>11</v>
      </c>
      <c r="H9" s="110">
        <f>G9/G31</f>
        <v>7.8937926085396483E-4</v>
      </c>
    </row>
    <row r="10" spans="1:8" ht="15" customHeight="1">
      <c r="A10" s="145">
        <v>3</v>
      </c>
      <c r="B10" s="137" t="s">
        <v>72</v>
      </c>
      <c r="C10" s="128">
        <v>0</v>
      </c>
      <c r="D10" s="63">
        <v>0</v>
      </c>
      <c r="E10" s="64">
        <v>0</v>
      </c>
      <c r="F10" s="64">
        <v>889</v>
      </c>
      <c r="G10" s="103">
        <f t="shared" ref="G10:G30" si="0">SUM(C10+D10+E10+F10)</f>
        <v>889</v>
      </c>
      <c r="H10" s="110">
        <f>G10/G31</f>
        <v>6.379619662719771E-2</v>
      </c>
    </row>
    <row r="11" spans="1:8" ht="15" customHeight="1">
      <c r="A11" s="145">
        <v>4</v>
      </c>
      <c r="B11" s="137" t="s">
        <v>73</v>
      </c>
      <c r="C11" s="129">
        <v>0</v>
      </c>
      <c r="D11" s="66">
        <v>0</v>
      </c>
      <c r="E11" s="67">
        <v>0</v>
      </c>
      <c r="F11" s="59">
        <v>5</v>
      </c>
      <c r="G11" s="104">
        <f t="shared" si="0"/>
        <v>5</v>
      </c>
      <c r="H11" s="110">
        <f>G11/G31</f>
        <v>3.588087549336204E-4</v>
      </c>
    </row>
    <row r="12" spans="1:8" ht="23.25" customHeight="1">
      <c r="A12" s="145">
        <v>5</v>
      </c>
      <c r="B12" s="137" t="s">
        <v>74</v>
      </c>
      <c r="C12" s="128">
        <v>0</v>
      </c>
      <c r="D12" s="63">
        <v>0</v>
      </c>
      <c r="E12" s="64">
        <v>0</v>
      </c>
      <c r="F12" s="64">
        <v>4</v>
      </c>
      <c r="G12" s="104">
        <f t="shared" si="0"/>
        <v>4</v>
      </c>
      <c r="H12" s="110">
        <f>G12/G31</f>
        <v>2.8704700394689632E-4</v>
      </c>
    </row>
    <row r="13" spans="1:8" ht="15" customHeight="1">
      <c r="A13" s="145">
        <v>6</v>
      </c>
      <c r="B13" s="137" t="s">
        <v>75</v>
      </c>
      <c r="C13" s="129">
        <v>0</v>
      </c>
      <c r="D13" s="58">
        <v>0</v>
      </c>
      <c r="E13" s="59">
        <v>2</v>
      </c>
      <c r="F13" s="59">
        <f>668+2</f>
        <v>670</v>
      </c>
      <c r="G13" s="104">
        <f t="shared" si="0"/>
        <v>672</v>
      </c>
      <c r="H13" s="110">
        <f>G13/G31</f>
        <v>4.822389666307858E-2</v>
      </c>
    </row>
    <row r="14" spans="1:8" ht="25.5" customHeight="1">
      <c r="A14" s="145">
        <v>7</v>
      </c>
      <c r="B14" s="137" t="s">
        <v>76</v>
      </c>
      <c r="C14" s="129">
        <v>0</v>
      </c>
      <c r="D14" s="58">
        <v>0</v>
      </c>
      <c r="E14" s="59">
        <v>8</v>
      </c>
      <c r="F14" s="59">
        <f>2395+3</f>
        <v>2398</v>
      </c>
      <c r="G14" s="104">
        <f t="shared" si="0"/>
        <v>2406</v>
      </c>
      <c r="H14" s="110">
        <f>G14/G31</f>
        <v>0.17265877287405812</v>
      </c>
    </row>
    <row r="15" spans="1:8" ht="15" customHeight="1">
      <c r="A15" s="145">
        <v>8</v>
      </c>
      <c r="B15" s="137" t="s">
        <v>77</v>
      </c>
      <c r="C15" s="129">
        <v>0</v>
      </c>
      <c r="D15" s="58">
        <v>0</v>
      </c>
      <c r="E15" s="58">
        <v>0</v>
      </c>
      <c r="F15" s="59">
        <v>375</v>
      </c>
      <c r="G15" s="104">
        <f t="shared" si="0"/>
        <v>375</v>
      </c>
      <c r="H15" s="110">
        <f>G15/G31</f>
        <v>2.6910656620021529E-2</v>
      </c>
    </row>
    <row r="16" spans="1:8" ht="15" customHeight="1">
      <c r="A16" s="145">
        <v>9</v>
      </c>
      <c r="B16" s="137" t="s">
        <v>78</v>
      </c>
      <c r="C16" s="128">
        <v>0</v>
      </c>
      <c r="D16" s="63">
        <v>1</v>
      </c>
      <c r="E16" s="58">
        <v>195</v>
      </c>
      <c r="F16" s="64">
        <f>1075+4</f>
        <v>1079</v>
      </c>
      <c r="G16" s="104">
        <f t="shared" si="0"/>
        <v>1275</v>
      </c>
      <c r="H16" s="110">
        <f>G16/G31</f>
        <v>9.1496232508073191E-2</v>
      </c>
    </row>
    <row r="17" spans="1:8" ht="15" customHeight="1">
      <c r="A17" s="145">
        <v>10</v>
      </c>
      <c r="B17" s="137" t="s">
        <v>79</v>
      </c>
      <c r="C17" s="128">
        <v>0</v>
      </c>
      <c r="D17" s="63">
        <v>0</v>
      </c>
      <c r="E17" s="64">
        <v>0</v>
      </c>
      <c r="F17" s="64">
        <f>340+1</f>
        <v>341</v>
      </c>
      <c r="G17" s="103">
        <f t="shared" si="0"/>
        <v>341</v>
      </c>
      <c r="H17" s="110">
        <f>G17/G31</f>
        <v>2.4470757086472911E-2</v>
      </c>
    </row>
    <row r="18" spans="1:8" ht="15" customHeight="1">
      <c r="A18" s="145">
        <v>11</v>
      </c>
      <c r="B18" s="137" t="s">
        <v>80</v>
      </c>
      <c r="C18" s="128">
        <v>0</v>
      </c>
      <c r="D18" s="63">
        <v>0</v>
      </c>
      <c r="E18" s="64">
        <v>0</v>
      </c>
      <c r="F18" s="59">
        <v>534</v>
      </c>
      <c r="G18" s="104">
        <f t="shared" si="0"/>
        <v>534</v>
      </c>
      <c r="H18" s="110">
        <f>G18/G31</f>
        <v>3.8320775026910656E-2</v>
      </c>
    </row>
    <row r="19" spans="1:8" ht="15" customHeight="1">
      <c r="A19" s="145">
        <v>12</v>
      </c>
      <c r="B19" s="137" t="s">
        <v>81</v>
      </c>
      <c r="C19" s="128">
        <v>0</v>
      </c>
      <c r="D19" s="63">
        <v>0</v>
      </c>
      <c r="E19" s="64">
        <v>2</v>
      </c>
      <c r="F19" s="64">
        <v>93</v>
      </c>
      <c r="G19" s="103">
        <f t="shared" si="0"/>
        <v>95</v>
      </c>
      <c r="H19" s="110">
        <f>G19/G31</f>
        <v>6.8173663437387875E-3</v>
      </c>
    </row>
    <row r="20" spans="1:8" ht="15" customHeight="1">
      <c r="A20" s="145">
        <v>13</v>
      </c>
      <c r="B20" s="137" t="s">
        <v>82</v>
      </c>
      <c r="C20" s="128">
        <v>0</v>
      </c>
      <c r="D20" s="63">
        <v>0</v>
      </c>
      <c r="E20" s="64">
        <v>0</v>
      </c>
      <c r="F20" s="64">
        <f>694+1</f>
        <v>695</v>
      </c>
      <c r="G20" s="103">
        <f t="shared" si="0"/>
        <v>695</v>
      </c>
      <c r="H20" s="110">
        <f>G20/G31</f>
        <v>4.9874416935773234E-2</v>
      </c>
    </row>
    <row r="21" spans="1:8" ht="15" customHeight="1">
      <c r="A21" s="145">
        <v>14</v>
      </c>
      <c r="B21" s="137" t="s">
        <v>83</v>
      </c>
      <c r="C21" s="128">
        <v>0</v>
      </c>
      <c r="D21" s="63">
        <v>0</v>
      </c>
      <c r="E21" s="64">
        <v>0</v>
      </c>
      <c r="F21" s="64">
        <f>289+1</f>
        <v>290</v>
      </c>
      <c r="G21" s="103">
        <f t="shared" si="0"/>
        <v>290</v>
      </c>
      <c r="H21" s="110">
        <f>G21/G31</f>
        <v>2.0810907786149982E-2</v>
      </c>
    </row>
    <row r="22" spans="1:8" ht="15" customHeight="1">
      <c r="A22" s="146">
        <v>15</v>
      </c>
      <c r="B22" s="137" t="s">
        <v>84</v>
      </c>
      <c r="C22" s="128">
        <v>0</v>
      </c>
      <c r="D22" s="63">
        <v>0</v>
      </c>
      <c r="E22" s="64">
        <v>0</v>
      </c>
      <c r="F22" s="64">
        <v>1739</v>
      </c>
      <c r="G22" s="103">
        <f t="shared" si="0"/>
        <v>1739</v>
      </c>
      <c r="H22" s="110">
        <f>G22/G31</f>
        <v>0.12479368496591317</v>
      </c>
    </row>
    <row r="23" spans="1:8" ht="15" customHeight="1">
      <c r="A23" s="145">
        <v>16</v>
      </c>
      <c r="B23" s="137" t="s">
        <v>85</v>
      </c>
      <c r="C23" s="128">
        <v>0</v>
      </c>
      <c r="D23" s="63">
        <v>0</v>
      </c>
      <c r="E23" s="64">
        <v>0</v>
      </c>
      <c r="F23" s="64">
        <f>2434+2</f>
        <v>2436</v>
      </c>
      <c r="G23" s="104">
        <f t="shared" si="0"/>
        <v>2436</v>
      </c>
      <c r="H23" s="110">
        <f>G23/G31</f>
        <v>0.17481162540365985</v>
      </c>
    </row>
    <row r="24" spans="1:8" ht="23.25" customHeight="1">
      <c r="A24" s="146">
        <v>17</v>
      </c>
      <c r="B24" s="137" t="s">
        <v>86</v>
      </c>
      <c r="C24" s="128">
        <v>0</v>
      </c>
      <c r="D24" s="63">
        <v>0</v>
      </c>
      <c r="E24" s="64">
        <v>1</v>
      </c>
      <c r="F24" s="64">
        <v>286</v>
      </c>
      <c r="G24" s="103">
        <f t="shared" si="0"/>
        <v>287</v>
      </c>
      <c r="H24" s="110">
        <f>G24/G31</f>
        <v>2.0595622533189809E-2</v>
      </c>
    </row>
    <row r="25" spans="1:8" ht="15" customHeight="1">
      <c r="A25" s="145">
        <v>18</v>
      </c>
      <c r="B25" s="138" t="s">
        <v>87</v>
      </c>
      <c r="C25" s="128">
        <v>0</v>
      </c>
      <c r="D25" s="63">
        <v>0</v>
      </c>
      <c r="E25" s="64">
        <v>3</v>
      </c>
      <c r="F25" s="64">
        <v>216</v>
      </c>
      <c r="G25" s="103">
        <f t="shared" si="0"/>
        <v>219</v>
      </c>
      <c r="H25" s="110">
        <f>G25/G31</f>
        <v>1.5715823466092571E-2</v>
      </c>
    </row>
    <row r="26" spans="1:8" ht="15" customHeight="1">
      <c r="A26" s="145">
        <v>19</v>
      </c>
      <c r="B26" s="138" t="s">
        <v>88</v>
      </c>
      <c r="C26" s="128">
        <v>0</v>
      </c>
      <c r="D26" s="63">
        <v>0</v>
      </c>
      <c r="E26" s="64">
        <v>4</v>
      </c>
      <c r="F26" s="64">
        <v>387</v>
      </c>
      <c r="G26" s="103">
        <f t="shared" si="0"/>
        <v>391</v>
      </c>
      <c r="H26" s="110">
        <f>G26/G31</f>
        <v>2.8058844635809113E-2</v>
      </c>
    </row>
    <row r="27" spans="1:8" ht="35.25" customHeight="1">
      <c r="A27" s="146">
        <v>20</v>
      </c>
      <c r="B27" s="138" t="s">
        <v>89</v>
      </c>
      <c r="C27" s="128">
        <v>0</v>
      </c>
      <c r="D27" s="63">
        <v>0</v>
      </c>
      <c r="E27" s="64">
        <v>0</v>
      </c>
      <c r="F27" s="64">
        <v>31</v>
      </c>
      <c r="G27" s="106">
        <f t="shared" si="0"/>
        <v>31</v>
      </c>
      <c r="H27" s="110">
        <f>G27/G31</f>
        <v>2.2246142805884463E-3</v>
      </c>
    </row>
    <row r="28" spans="1:8" ht="15" customHeight="1">
      <c r="A28" s="145">
        <v>21</v>
      </c>
      <c r="B28" s="138" t="s">
        <v>90</v>
      </c>
      <c r="C28" s="128">
        <v>0</v>
      </c>
      <c r="D28" s="63">
        <v>0</v>
      </c>
      <c r="E28" s="64">
        <v>0</v>
      </c>
      <c r="F28" s="64">
        <v>16</v>
      </c>
      <c r="G28" s="103">
        <f t="shared" si="0"/>
        <v>16</v>
      </c>
      <c r="H28" s="110">
        <f>G28/G31</f>
        <v>1.1481880157875853E-3</v>
      </c>
    </row>
    <row r="29" spans="1:8" ht="15" customHeight="1">
      <c r="A29" s="145">
        <v>22</v>
      </c>
      <c r="B29" s="139" t="s">
        <v>91</v>
      </c>
      <c r="C29" s="128">
        <v>0</v>
      </c>
      <c r="D29" s="63">
        <v>0</v>
      </c>
      <c r="E29" s="64">
        <v>0</v>
      </c>
      <c r="F29" s="64">
        <f>1095+28</f>
        <v>1123</v>
      </c>
      <c r="G29" s="103">
        <f t="shared" si="0"/>
        <v>1123</v>
      </c>
      <c r="H29" s="110">
        <f>G29/G31</f>
        <v>8.0588446358091134E-2</v>
      </c>
    </row>
    <row r="30" spans="1:8" ht="15" customHeight="1" thickBot="1">
      <c r="A30" s="145">
        <v>23</v>
      </c>
      <c r="B30" s="140" t="s">
        <v>92</v>
      </c>
      <c r="C30" s="130"/>
      <c r="D30" s="68">
        <v>0</v>
      </c>
      <c r="E30" s="69">
        <v>0</v>
      </c>
      <c r="F30" s="69">
        <v>2</v>
      </c>
      <c r="G30" s="106">
        <f t="shared" si="0"/>
        <v>2</v>
      </c>
      <c r="H30" s="111">
        <f>G30/G31</f>
        <v>1.4352350197344816E-4</v>
      </c>
    </row>
    <row r="31" spans="1:8" ht="15" customHeight="1" thickBot="1">
      <c r="A31" s="147"/>
      <c r="B31" s="132" t="s">
        <v>6</v>
      </c>
      <c r="C31" s="131">
        <f>SUM(C8:C30)</f>
        <v>0</v>
      </c>
      <c r="D31" s="70">
        <f t="shared" ref="D31:H31" si="1">SUM(D8:D30)</f>
        <v>1</v>
      </c>
      <c r="E31" s="70">
        <f t="shared" si="1"/>
        <v>215</v>
      </c>
      <c r="F31" s="70">
        <f t="shared" si="1"/>
        <v>13719</v>
      </c>
      <c r="G31" s="71">
        <f t="shared" si="1"/>
        <v>13935</v>
      </c>
      <c r="H31" s="156">
        <f t="shared" si="1"/>
        <v>0.99999999999999989</v>
      </c>
    </row>
    <row r="32" spans="1:8">
      <c r="A32" s="74"/>
      <c r="B32" s="75"/>
      <c r="C32" s="76"/>
      <c r="D32" s="76"/>
      <c r="E32" s="76"/>
      <c r="F32" s="76"/>
      <c r="G32" s="76"/>
    </row>
    <row r="33" spans="1:6">
      <c r="A33" s="300" t="s">
        <v>124</v>
      </c>
      <c r="B33" s="39"/>
      <c r="F33" s="87" t="s">
        <v>12</v>
      </c>
    </row>
    <row r="34" spans="1:6">
      <c r="A34" s="490">
        <v>43025</v>
      </c>
      <c r="B34" s="490"/>
      <c r="F34" s="87" t="s">
        <v>93</v>
      </c>
    </row>
  </sheetData>
  <mergeCells count="8">
    <mergeCell ref="H6:H7"/>
    <mergeCell ref="A34:B34"/>
    <mergeCell ref="A3:G3"/>
    <mergeCell ref="A4:C4"/>
    <mergeCell ref="C5:G5"/>
    <mergeCell ref="C6:D6"/>
    <mergeCell ref="E6:F6"/>
    <mergeCell ref="G6:G7"/>
  </mergeCells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topLeftCell="A13" workbookViewId="0">
      <selection activeCell="A33" sqref="A33:B33"/>
    </sheetView>
  </sheetViews>
  <sheetFormatPr defaultRowHeight="12.75"/>
  <cols>
    <col min="1" max="1" width="5.42578125" customWidth="1"/>
    <col min="2" max="2" width="60.85546875" customWidth="1"/>
    <col min="3" max="7" width="12.7109375" customWidth="1"/>
    <col min="8" max="8" width="12.85546875" customWidth="1"/>
  </cols>
  <sheetData>
    <row r="1" spans="1:8">
      <c r="A1" s="122" t="s">
        <v>113</v>
      </c>
      <c r="B1" s="24"/>
    </row>
    <row r="2" spans="1:8" ht="26.25" customHeight="1">
      <c r="A2" s="500" t="s">
        <v>143</v>
      </c>
      <c r="B2" s="500"/>
      <c r="C2" s="500"/>
      <c r="D2" s="500"/>
      <c r="E2" s="500"/>
      <c r="F2" s="500"/>
      <c r="G2" s="500"/>
    </row>
    <row r="3" spans="1:8" ht="11.25" customHeight="1" thickBot="1">
      <c r="A3" s="461"/>
      <c r="B3" s="461"/>
      <c r="C3" s="461"/>
    </row>
    <row r="4" spans="1:8" ht="14.25" customHeight="1">
      <c r="A4" s="142"/>
      <c r="B4" s="133"/>
      <c r="C4" s="475" t="s">
        <v>62</v>
      </c>
      <c r="D4" s="464"/>
      <c r="E4" s="464"/>
      <c r="F4" s="464"/>
      <c r="G4" s="464"/>
      <c r="H4" s="465"/>
    </row>
    <row r="5" spans="1:8" ht="13.5" customHeight="1">
      <c r="A5" s="143" t="s">
        <v>63</v>
      </c>
      <c r="B5" s="134" t="s">
        <v>64</v>
      </c>
      <c r="C5" s="476" t="s">
        <v>65</v>
      </c>
      <c r="D5" s="467"/>
      <c r="E5" s="468" t="s">
        <v>66</v>
      </c>
      <c r="F5" s="468"/>
      <c r="G5" s="469" t="s">
        <v>6</v>
      </c>
      <c r="H5" s="498" t="s">
        <v>116</v>
      </c>
    </row>
    <row r="6" spans="1:8" ht="24" customHeight="1" thickBot="1">
      <c r="A6" s="135"/>
      <c r="B6" s="135"/>
      <c r="C6" s="150" t="s">
        <v>67</v>
      </c>
      <c r="D6" s="105" t="s">
        <v>68</v>
      </c>
      <c r="E6" s="105" t="s">
        <v>68</v>
      </c>
      <c r="F6" s="105" t="s">
        <v>69</v>
      </c>
      <c r="G6" s="497"/>
      <c r="H6" s="499"/>
    </row>
    <row r="7" spans="1:8" ht="14.25" customHeight="1">
      <c r="A7" s="144">
        <v>1</v>
      </c>
      <c r="B7" s="136" t="s">
        <v>70</v>
      </c>
      <c r="C7" s="127">
        <v>0</v>
      </c>
      <c r="D7" s="82">
        <v>0</v>
      </c>
      <c r="E7" s="92">
        <v>0</v>
      </c>
      <c r="F7" s="92">
        <v>96</v>
      </c>
      <c r="G7" s="80">
        <f>SUM(C7+D7+E7+F7)</f>
        <v>96</v>
      </c>
      <c r="H7" s="109">
        <f>G7/G30</f>
        <v>7.9734219269102981E-3</v>
      </c>
    </row>
    <row r="8" spans="1:8" ht="14.2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11</v>
      </c>
      <c r="G8" s="103">
        <f>SUM(C8+D8+E8+F8)</f>
        <v>11</v>
      </c>
      <c r="H8" s="110">
        <f>G8/G30</f>
        <v>9.1362126245847172E-4</v>
      </c>
    </row>
    <row r="9" spans="1:8" ht="12.75" customHeight="1">
      <c r="A9" s="145">
        <v>3</v>
      </c>
      <c r="B9" s="137" t="s">
        <v>72</v>
      </c>
      <c r="C9" s="128">
        <v>14</v>
      </c>
      <c r="D9" s="63">
        <v>0</v>
      </c>
      <c r="E9" s="64">
        <v>0</v>
      </c>
      <c r="F9" s="64">
        <v>883</v>
      </c>
      <c r="G9" s="103">
        <f>SUM(C9+D9+E9+F9)</f>
        <v>897</v>
      </c>
      <c r="H9" s="110">
        <f>G9/G30</f>
        <v>7.4501661129568103E-2</v>
      </c>
    </row>
    <row r="10" spans="1:8" ht="1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3</v>
      </c>
      <c r="G10" s="104">
        <f t="shared" ref="G10:G29" si="0">SUM(C10+D10+E10+F10)</f>
        <v>3</v>
      </c>
      <c r="H10" s="110">
        <f>G10/G30</f>
        <v>2.4916943521594682E-4</v>
      </c>
    </row>
    <row r="11" spans="1:8" ht="24" customHeight="1">
      <c r="A11" s="145">
        <v>5</v>
      </c>
      <c r="B11" s="137" t="s">
        <v>74</v>
      </c>
      <c r="C11" s="128">
        <v>0</v>
      </c>
      <c r="D11" s="63">
        <v>0</v>
      </c>
      <c r="E11" s="64">
        <v>0</v>
      </c>
      <c r="F11" s="64">
        <v>4</v>
      </c>
      <c r="G11" s="104">
        <f t="shared" si="0"/>
        <v>4</v>
      </c>
      <c r="H11" s="110">
        <f>G11/G30</f>
        <v>3.3222591362126248E-4</v>
      </c>
    </row>
    <row r="12" spans="1:8" ht="12.75" customHeight="1">
      <c r="A12" s="145">
        <v>6</v>
      </c>
      <c r="B12" s="137" t="s">
        <v>75</v>
      </c>
      <c r="C12" s="129">
        <v>0</v>
      </c>
      <c r="D12" s="58">
        <v>0</v>
      </c>
      <c r="E12" s="59">
        <v>5</v>
      </c>
      <c r="F12" s="59">
        <f>640+3</f>
        <v>643</v>
      </c>
      <c r="G12" s="104">
        <f t="shared" si="0"/>
        <v>648</v>
      </c>
      <c r="H12" s="110">
        <f>G12/G30</f>
        <v>5.3820598006644516E-2</v>
      </c>
    </row>
    <row r="13" spans="1:8" ht="24" customHeight="1">
      <c r="A13" s="145">
        <v>7</v>
      </c>
      <c r="B13" s="137" t="s">
        <v>76</v>
      </c>
      <c r="C13" s="129">
        <v>0</v>
      </c>
      <c r="D13" s="58">
        <v>0</v>
      </c>
      <c r="E13" s="59">
        <v>7</v>
      </c>
      <c r="F13" s="59">
        <f>2356+4</f>
        <v>2360</v>
      </c>
      <c r="G13" s="104">
        <f t="shared" si="0"/>
        <v>2367</v>
      </c>
      <c r="H13" s="110">
        <f>G13/G30</f>
        <v>0.19659468438538205</v>
      </c>
    </row>
    <row r="14" spans="1:8" ht="14.25" customHeight="1">
      <c r="A14" s="145">
        <v>8</v>
      </c>
      <c r="B14" s="137" t="s">
        <v>77</v>
      </c>
      <c r="C14" s="129">
        <v>0</v>
      </c>
      <c r="D14" s="58">
        <v>0</v>
      </c>
      <c r="E14" s="58">
        <v>0</v>
      </c>
      <c r="F14" s="59">
        <v>371</v>
      </c>
      <c r="G14" s="104">
        <f t="shared" si="0"/>
        <v>371</v>
      </c>
      <c r="H14" s="110">
        <f>G14/G30</f>
        <v>3.0813953488372094E-2</v>
      </c>
    </row>
    <row r="15" spans="1:8" ht="24" customHeight="1">
      <c r="A15" s="145">
        <v>9</v>
      </c>
      <c r="B15" s="137" t="s">
        <v>78</v>
      </c>
      <c r="C15" s="128">
        <v>0</v>
      </c>
      <c r="D15" s="63">
        <v>0</v>
      </c>
      <c r="E15" s="58">
        <v>189</v>
      </c>
      <c r="F15" s="64">
        <f>1032+3</f>
        <v>1035</v>
      </c>
      <c r="G15" s="104">
        <f t="shared" si="0"/>
        <v>1224</v>
      </c>
      <c r="H15" s="110">
        <f>G15/G30</f>
        <v>0.10166112956810631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0</v>
      </c>
      <c r="F16" s="64">
        <v>309</v>
      </c>
      <c r="G16" s="103">
        <f t="shared" si="0"/>
        <v>309</v>
      </c>
      <c r="H16" s="110">
        <f>G16/G30</f>
        <v>2.5664451827242526E-2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v>453</v>
      </c>
      <c r="G17" s="104">
        <f t="shared" si="0"/>
        <v>453</v>
      </c>
      <c r="H17" s="110">
        <f>G17/G30</f>
        <v>3.7624584717607976E-2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1</v>
      </c>
      <c r="F18" s="64">
        <v>83</v>
      </c>
      <c r="G18" s="103">
        <f t="shared" si="0"/>
        <v>84</v>
      </c>
      <c r="H18" s="110">
        <f>G18/G30</f>
        <v>6.9767441860465115E-3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f>715+1</f>
        <v>716</v>
      </c>
      <c r="G19" s="103">
        <f t="shared" si="0"/>
        <v>716</v>
      </c>
      <c r="H19" s="110">
        <f>G19/G30</f>
        <v>5.9468438538205978E-2</v>
      </c>
    </row>
    <row r="20" spans="1:8" ht="14.25" customHeight="1">
      <c r="A20" s="145">
        <v>14</v>
      </c>
      <c r="B20" s="137" t="s">
        <v>83</v>
      </c>
      <c r="C20" s="128">
        <v>0</v>
      </c>
      <c r="D20" s="63">
        <v>0</v>
      </c>
      <c r="E20" s="64">
        <v>0</v>
      </c>
      <c r="F20" s="64">
        <f>263+1</f>
        <v>264</v>
      </c>
      <c r="G20" s="103">
        <f t="shared" si="0"/>
        <v>264</v>
      </c>
      <c r="H20" s="110">
        <f>G20/G30</f>
        <v>2.1926910299003323E-2</v>
      </c>
    </row>
    <row r="21" spans="1:8" ht="13.5" customHeight="1">
      <c r="A21" s="146">
        <v>15</v>
      </c>
      <c r="B21" s="137" t="s">
        <v>84</v>
      </c>
      <c r="C21" s="128">
        <v>0</v>
      </c>
      <c r="D21" s="63">
        <v>0</v>
      </c>
      <c r="E21" s="64">
        <v>0</v>
      </c>
      <c r="F21" s="64">
        <v>1188</v>
      </c>
      <c r="G21" s="103">
        <f t="shared" si="0"/>
        <v>1188</v>
      </c>
      <c r="H21" s="110">
        <f>G21/G30</f>
        <v>9.867109634551495E-2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0</v>
      </c>
      <c r="E22" s="64">
        <v>0</v>
      </c>
      <c r="F22" s="64">
        <f>1463+3</f>
        <v>1466</v>
      </c>
      <c r="G22" s="104">
        <f t="shared" si="0"/>
        <v>1466</v>
      </c>
      <c r="H22" s="110">
        <f>G22/G30</f>
        <v>0.12176079734219269</v>
      </c>
    </row>
    <row r="23" spans="1:8" ht="24" customHeight="1">
      <c r="A23" s="146">
        <v>17</v>
      </c>
      <c r="B23" s="137" t="s">
        <v>86</v>
      </c>
      <c r="C23" s="128">
        <v>0</v>
      </c>
      <c r="D23" s="63">
        <v>0</v>
      </c>
      <c r="E23" s="64">
        <v>1</v>
      </c>
      <c r="F23" s="64">
        <v>269</v>
      </c>
      <c r="G23" s="103">
        <f t="shared" si="0"/>
        <v>270</v>
      </c>
      <c r="H23" s="110">
        <f>G23/G30</f>
        <v>2.2425249169435217E-2</v>
      </c>
    </row>
    <row r="24" spans="1:8" ht="17.25" customHeight="1">
      <c r="A24" s="145">
        <v>18</v>
      </c>
      <c r="B24" s="138" t="s">
        <v>87</v>
      </c>
      <c r="C24" s="128">
        <v>0</v>
      </c>
      <c r="D24" s="63">
        <v>0</v>
      </c>
      <c r="E24" s="64">
        <v>3</v>
      </c>
      <c r="F24" s="64">
        <v>205</v>
      </c>
      <c r="G24" s="103">
        <f t="shared" si="0"/>
        <v>208</v>
      </c>
      <c r="H24" s="110">
        <f>G24/G30</f>
        <v>1.7275747508305649E-2</v>
      </c>
    </row>
    <row r="25" spans="1:8" ht="15.75" customHeight="1">
      <c r="A25" s="145">
        <v>19</v>
      </c>
      <c r="B25" s="138" t="s">
        <v>88</v>
      </c>
      <c r="C25" s="128">
        <v>0</v>
      </c>
      <c r="D25" s="63">
        <v>0</v>
      </c>
      <c r="E25" s="64">
        <v>2</v>
      </c>
      <c r="F25" s="64">
        <v>312</v>
      </c>
      <c r="G25" s="103">
        <f t="shared" si="0"/>
        <v>314</v>
      </c>
      <c r="H25" s="110">
        <f>G25/G30</f>
        <v>2.6079734219269103E-2</v>
      </c>
    </row>
    <row r="26" spans="1:8" ht="24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30</v>
      </c>
      <c r="G26" s="106">
        <f t="shared" si="0"/>
        <v>30</v>
      </c>
      <c r="H26" s="110">
        <f>G26/G30</f>
        <v>2.4916943521594683E-3</v>
      </c>
    </row>
    <row r="27" spans="1:8" ht="16.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12</v>
      </c>
      <c r="G27" s="103">
        <f t="shared" si="0"/>
        <v>12</v>
      </c>
      <c r="H27" s="110">
        <f>G27/G30</f>
        <v>9.9667774086378727E-4</v>
      </c>
    </row>
    <row r="28" spans="1:8" ht="14.25" customHeight="1">
      <c r="A28" s="145">
        <v>22</v>
      </c>
      <c r="B28" s="139" t="s">
        <v>91</v>
      </c>
      <c r="C28" s="128">
        <v>0</v>
      </c>
      <c r="D28" s="63">
        <v>0</v>
      </c>
      <c r="E28" s="64">
        <v>1</v>
      </c>
      <c r="F28" s="64">
        <f>1068+32</f>
        <v>1100</v>
      </c>
      <c r="G28" s="103">
        <f t="shared" si="0"/>
        <v>1101</v>
      </c>
      <c r="H28" s="110">
        <f>G28/G30</f>
        <v>9.1445182724252491E-2</v>
      </c>
    </row>
    <row r="29" spans="1:8" ht="15" customHeight="1" thickBot="1">
      <c r="A29" s="145">
        <v>23</v>
      </c>
      <c r="B29" s="140" t="s">
        <v>92</v>
      </c>
      <c r="C29" s="130">
        <v>0</v>
      </c>
      <c r="D29" s="68">
        <v>0</v>
      </c>
      <c r="E29" s="69">
        <v>0</v>
      </c>
      <c r="F29" s="69">
        <v>4</v>
      </c>
      <c r="G29" s="106">
        <f t="shared" si="0"/>
        <v>4</v>
      </c>
      <c r="H29" s="157">
        <f>G29/G30</f>
        <v>3.3222591362126248E-4</v>
      </c>
    </row>
    <row r="30" spans="1:8" ht="24" customHeight="1" thickBot="1">
      <c r="A30" s="147"/>
      <c r="B30" s="132" t="s">
        <v>6</v>
      </c>
      <c r="C30" s="131">
        <f t="shared" ref="C30:H30" si="1">SUM(C7:C29)</f>
        <v>14</v>
      </c>
      <c r="D30" s="70">
        <f t="shared" si="1"/>
        <v>0</v>
      </c>
      <c r="E30" s="70">
        <f t="shared" si="1"/>
        <v>209</v>
      </c>
      <c r="F30" s="70">
        <f t="shared" si="1"/>
        <v>11817</v>
      </c>
      <c r="G30" s="71">
        <f t="shared" si="1"/>
        <v>12040</v>
      </c>
      <c r="H30" s="159">
        <f t="shared" si="1"/>
        <v>0.99999999999999989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0" t="s">
        <v>141</v>
      </c>
      <c r="B32" s="39"/>
      <c r="F32" s="87" t="s">
        <v>12</v>
      </c>
    </row>
    <row r="33" spans="1:6">
      <c r="A33" s="490">
        <v>43061</v>
      </c>
      <c r="B33" s="490"/>
      <c r="F33" s="87" t="s">
        <v>93</v>
      </c>
    </row>
  </sheetData>
  <mergeCells count="8">
    <mergeCell ref="H5:H6"/>
    <mergeCell ref="C4:H4"/>
    <mergeCell ref="A33:B33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L19" sqref="L19"/>
    </sheetView>
  </sheetViews>
  <sheetFormatPr defaultRowHeight="12.75"/>
  <cols>
    <col min="1" max="1" width="5.42578125" customWidth="1"/>
    <col min="2" max="2" width="53.28515625" customWidth="1"/>
    <col min="3" max="7" width="12.7109375" customWidth="1"/>
    <col min="8" max="8" width="11.140625" customWidth="1"/>
  </cols>
  <sheetData>
    <row r="1" spans="1:8">
      <c r="A1" s="122" t="s">
        <v>114</v>
      </c>
      <c r="B1" s="24"/>
    </row>
    <row r="2" spans="1:8" ht="30.75" customHeight="1">
      <c r="A2" s="500" t="s">
        <v>144</v>
      </c>
      <c r="B2" s="500"/>
      <c r="C2" s="500"/>
      <c r="D2" s="500"/>
      <c r="E2" s="500"/>
      <c r="F2" s="500"/>
      <c r="G2" s="500"/>
    </row>
    <row r="3" spans="1:8" ht="11.25" customHeight="1" thickBot="1">
      <c r="A3" s="461"/>
      <c r="B3" s="461"/>
      <c r="C3" s="461"/>
    </row>
    <row r="4" spans="1:8" ht="14.25" customHeight="1">
      <c r="A4" s="142"/>
      <c r="B4" s="133"/>
      <c r="C4" s="475" t="s">
        <v>62</v>
      </c>
      <c r="D4" s="464"/>
      <c r="E4" s="464"/>
      <c r="F4" s="464"/>
      <c r="G4" s="464"/>
      <c r="H4" s="465"/>
    </row>
    <row r="5" spans="1:8" ht="13.5" customHeight="1">
      <c r="A5" s="143" t="s">
        <v>63</v>
      </c>
      <c r="B5" s="134" t="s">
        <v>64</v>
      </c>
      <c r="C5" s="476" t="s">
        <v>65</v>
      </c>
      <c r="D5" s="467"/>
      <c r="E5" s="468" t="s">
        <v>66</v>
      </c>
      <c r="F5" s="468"/>
      <c r="G5" s="469" t="s">
        <v>6</v>
      </c>
      <c r="H5" s="498" t="s">
        <v>116</v>
      </c>
    </row>
    <row r="6" spans="1:8" ht="24" customHeight="1" thickBot="1">
      <c r="A6" s="135"/>
      <c r="B6" s="135"/>
      <c r="C6" s="150" t="s">
        <v>67</v>
      </c>
      <c r="D6" s="105" t="s">
        <v>68</v>
      </c>
      <c r="E6" s="105" t="s">
        <v>68</v>
      </c>
      <c r="F6" s="105" t="s">
        <v>69</v>
      </c>
      <c r="G6" s="497"/>
      <c r="H6" s="499"/>
    </row>
    <row r="7" spans="1:8" ht="14.25" customHeight="1">
      <c r="A7" s="144">
        <v>1</v>
      </c>
      <c r="B7" s="136" t="s">
        <v>70</v>
      </c>
      <c r="C7" s="127">
        <v>0</v>
      </c>
      <c r="D7" s="82">
        <v>0</v>
      </c>
      <c r="E7" s="92">
        <v>0</v>
      </c>
      <c r="F7" s="92">
        <v>96</v>
      </c>
      <c r="G7" s="82">
        <f>SUM(C7+D7+E7+F7)</f>
        <v>96</v>
      </c>
      <c r="H7" s="149">
        <f>G7/G30</f>
        <v>9.3059325319891431E-3</v>
      </c>
    </row>
    <row r="8" spans="1:8" ht="14.2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9</v>
      </c>
      <c r="G8" s="63">
        <f>SUM(C8+D8+E8+F8)</f>
        <v>9</v>
      </c>
      <c r="H8" s="110">
        <f>G8/G30</f>
        <v>8.7243117487398217E-4</v>
      </c>
    </row>
    <row r="9" spans="1:8" ht="12.75" customHeight="1">
      <c r="A9" s="145">
        <v>3</v>
      </c>
      <c r="B9" s="137" t="s">
        <v>72</v>
      </c>
      <c r="C9" s="128">
        <v>22</v>
      </c>
      <c r="D9" s="63">
        <v>0</v>
      </c>
      <c r="E9" s="64">
        <v>0</v>
      </c>
      <c r="F9" s="64">
        <v>878</v>
      </c>
      <c r="G9" s="63">
        <f t="shared" ref="G9:G29" si="0">SUM(C9+D9+E9+F9)</f>
        <v>900</v>
      </c>
      <c r="H9" s="110">
        <f>G9/G30</f>
        <v>8.7243117487398214E-2</v>
      </c>
    </row>
    <row r="10" spans="1:8" ht="1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2</v>
      </c>
      <c r="G10" s="58">
        <f t="shared" si="0"/>
        <v>2</v>
      </c>
      <c r="H10" s="110">
        <f>G10/G30</f>
        <v>1.9387359441644047E-4</v>
      </c>
    </row>
    <row r="11" spans="1:8" ht="24" customHeight="1">
      <c r="A11" s="145">
        <v>5</v>
      </c>
      <c r="B11" s="137" t="s">
        <v>74</v>
      </c>
      <c r="C11" s="128">
        <v>0</v>
      </c>
      <c r="D11" s="63">
        <v>0</v>
      </c>
      <c r="E11" s="64">
        <v>0</v>
      </c>
      <c r="F11" s="64">
        <v>4</v>
      </c>
      <c r="G11" s="58">
        <f t="shared" si="0"/>
        <v>4</v>
      </c>
      <c r="H11" s="110">
        <f>G11/G30</f>
        <v>3.8774718883288094E-4</v>
      </c>
    </row>
    <row r="12" spans="1:8" ht="12.75" customHeight="1">
      <c r="A12" s="145">
        <v>6</v>
      </c>
      <c r="B12" s="137" t="s">
        <v>75</v>
      </c>
      <c r="C12" s="129">
        <v>0</v>
      </c>
      <c r="D12" s="58">
        <v>0</v>
      </c>
      <c r="E12" s="59">
        <v>4</v>
      </c>
      <c r="F12" s="59">
        <f>580+3</f>
        <v>583</v>
      </c>
      <c r="G12" s="58">
        <f t="shared" si="0"/>
        <v>587</v>
      </c>
      <c r="H12" s="110">
        <f>G12/G30</f>
        <v>5.6901899961225279E-2</v>
      </c>
    </row>
    <row r="13" spans="1:8" ht="24" customHeight="1">
      <c r="A13" s="145">
        <v>7</v>
      </c>
      <c r="B13" s="137" t="s">
        <v>76</v>
      </c>
      <c r="C13" s="129">
        <v>0</v>
      </c>
      <c r="D13" s="58">
        <v>0</v>
      </c>
      <c r="E13" s="59">
        <v>7</v>
      </c>
      <c r="F13" s="59">
        <f>2290+4</f>
        <v>2294</v>
      </c>
      <c r="G13" s="58">
        <f t="shared" si="0"/>
        <v>2301</v>
      </c>
      <c r="H13" s="110">
        <f>G13/G30</f>
        <v>0.22305157037611478</v>
      </c>
    </row>
    <row r="14" spans="1:8" ht="14.25" customHeight="1">
      <c r="A14" s="145">
        <v>8</v>
      </c>
      <c r="B14" s="137" t="s">
        <v>77</v>
      </c>
      <c r="C14" s="129">
        <v>0</v>
      </c>
      <c r="D14" s="58">
        <v>0</v>
      </c>
      <c r="E14" s="58">
        <v>0</v>
      </c>
      <c r="F14" s="59">
        <v>372</v>
      </c>
      <c r="G14" s="58">
        <f t="shared" si="0"/>
        <v>372</v>
      </c>
      <c r="H14" s="110">
        <f>G14/G30</f>
        <v>3.606048856145793E-2</v>
      </c>
    </row>
    <row r="15" spans="1:8" ht="24" customHeight="1">
      <c r="A15" s="145">
        <v>9</v>
      </c>
      <c r="B15" s="137" t="s">
        <v>78</v>
      </c>
      <c r="C15" s="128">
        <v>0</v>
      </c>
      <c r="D15" s="63">
        <v>0</v>
      </c>
      <c r="E15" s="58">
        <v>349</v>
      </c>
      <c r="F15" s="64">
        <f>1108+2</f>
        <v>1110</v>
      </c>
      <c r="G15" s="58">
        <f t="shared" si="0"/>
        <v>1459</v>
      </c>
      <c r="H15" s="110">
        <f>G15/G30</f>
        <v>0.14143078712679333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0</v>
      </c>
      <c r="F16" s="64">
        <v>288</v>
      </c>
      <c r="G16" s="63">
        <f t="shared" si="0"/>
        <v>288</v>
      </c>
      <c r="H16" s="110">
        <f>G16/G30</f>
        <v>2.7917797595967429E-2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v>418</v>
      </c>
      <c r="G17" s="58">
        <f t="shared" si="0"/>
        <v>418</v>
      </c>
      <c r="H17" s="110">
        <f>G17/G30</f>
        <v>4.0519581233036062E-2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1</v>
      </c>
      <c r="F18" s="64">
        <f>89+1</f>
        <v>90</v>
      </c>
      <c r="G18" s="63">
        <f t="shared" si="0"/>
        <v>91</v>
      </c>
      <c r="H18" s="110">
        <f>G18/G30</f>
        <v>8.8212485459480423E-3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f>697+1</f>
        <v>698</v>
      </c>
      <c r="G19" s="63">
        <f t="shared" si="0"/>
        <v>698</v>
      </c>
      <c r="H19" s="110">
        <f>G19/G30</f>
        <v>6.7661884451337723E-2</v>
      </c>
    </row>
    <row r="20" spans="1:8" ht="14.25" customHeight="1">
      <c r="A20" s="145">
        <v>14</v>
      </c>
      <c r="B20" s="137" t="s">
        <v>83</v>
      </c>
      <c r="C20" s="128">
        <v>0</v>
      </c>
      <c r="D20" s="63">
        <v>0</v>
      </c>
      <c r="E20" s="64">
        <v>0</v>
      </c>
      <c r="F20" s="64">
        <v>290</v>
      </c>
      <c r="G20" s="63">
        <f t="shared" si="0"/>
        <v>290</v>
      </c>
      <c r="H20" s="110">
        <f>G20/G30</f>
        <v>2.811167119038387E-2</v>
      </c>
    </row>
    <row r="21" spans="1:8" ht="13.5" customHeight="1">
      <c r="A21" s="146">
        <v>15</v>
      </c>
      <c r="B21" s="137" t="s">
        <v>84</v>
      </c>
      <c r="C21" s="128">
        <v>0</v>
      </c>
      <c r="D21" s="63">
        <v>0</v>
      </c>
      <c r="E21" s="64">
        <v>0</v>
      </c>
      <c r="F21" s="64">
        <v>568</v>
      </c>
      <c r="G21" s="63">
        <f t="shared" si="0"/>
        <v>568</v>
      </c>
      <c r="H21" s="110">
        <f>G21/G30</f>
        <v>5.5060100814269097E-2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0</v>
      </c>
      <c r="E22" s="64">
        <v>0</v>
      </c>
      <c r="F22" s="64">
        <f>526+2</f>
        <v>528</v>
      </c>
      <c r="G22" s="58">
        <f t="shared" si="0"/>
        <v>528</v>
      </c>
      <c r="H22" s="110">
        <f>G22/G30</f>
        <v>5.1182628925940284E-2</v>
      </c>
    </row>
    <row r="23" spans="1:8" ht="24" customHeight="1">
      <c r="A23" s="146">
        <v>17</v>
      </c>
      <c r="B23" s="137" t="s">
        <v>86</v>
      </c>
      <c r="C23" s="128">
        <v>0</v>
      </c>
      <c r="D23" s="63">
        <v>0</v>
      </c>
      <c r="E23" s="64">
        <v>1</v>
      </c>
      <c r="F23" s="64">
        <v>245</v>
      </c>
      <c r="G23" s="63">
        <f t="shared" si="0"/>
        <v>246</v>
      </c>
      <c r="H23" s="110">
        <f>G23/G30</f>
        <v>2.3846452113222179E-2</v>
      </c>
    </row>
    <row r="24" spans="1:8" ht="17.25" customHeight="1">
      <c r="A24" s="145">
        <v>18</v>
      </c>
      <c r="B24" s="138" t="s">
        <v>87</v>
      </c>
      <c r="C24" s="128">
        <v>0</v>
      </c>
      <c r="D24" s="63">
        <v>0</v>
      </c>
      <c r="E24" s="64">
        <v>0</v>
      </c>
      <c r="F24" s="64">
        <v>191</v>
      </c>
      <c r="G24" s="63">
        <f t="shared" si="0"/>
        <v>191</v>
      </c>
      <c r="H24" s="110">
        <f>G24/G30</f>
        <v>1.8514928266770064E-2</v>
      </c>
    </row>
    <row r="25" spans="1:8" ht="15.75" customHeight="1">
      <c r="A25" s="145">
        <v>19</v>
      </c>
      <c r="B25" s="138" t="s">
        <v>88</v>
      </c>
      <c r="C25" s="128">
        <v>0</v>
      </c>
      <c r="D25" s="63">
        <v>0</v>
      </c>
      <c r="E25" s="64">
        <v>9</v>
      </c>
      <c r="F25" s="64">
        <v>238</v>
      </c>
      <c r="G25" s="63">
        <f t="shared" si="0"/>
        <v>247</v>
      </c>
      <c r="H25" s="110">
        <f>G25/G30</f>
        <v>2.3943388910430401E-2</v>
      </c>
    </row>
    <row r="26" spans="1:8" ht="24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25</v>
      </c>
      <c r="G26" s="68">
        <f t="shared" si="0"/>
        <v>25</v>
      </c>
      <c r="H26" s="110">
        <f>G26/G30</f>
        <v>2.4234199302055059E-3</v>
      </c>
    </row>
    <row r="27" spans="1:8" ht="16.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7</v>
      </c>
      <c r="G27" s="63">
        <f t="shared" si="0"/>
        <v>7</v>
      </c>
      <c r="H27" s="110">
        <f>G27/G30</f>
        <v>6.7855758045754172E-4</v>
      </c>
    </row>
    <row r="28" spans="1:8" ht="14.25" customHeight="1">
      <c r="A28" s="145">
        <v>22</v>
      </c>
      <c r="B28" s="139" t="s">
        <v>91</v>
      </c>
      <c r="C28" s="128">
        <v>0</v>
      </c>
      <c r="D28" s="63">
        <v>0</v>
      </c>
      <c r="E28" s="64">
        <v>1</v>
      </c>
      <c r="F28" s="64">
        <f>959+28</f>
        <v>987</v>
      </c>
      <c r="G28" s="63">
        <f t="shared" si="0"/>
        <v>988</v>
      </c>
      <c r="H28" s="110">
        <f>G28/G30</f>
        <v>9.5773555641721603E-2</v>
      </c>
    </row>
    <row r="29" spans="1:8" ht="15" customHeight="1" thickBot="1">
      <c r="A29" s="147">
        <v>23</v>
      </c>
      <c r="B29" s="164" t="s">
        <v>92</v>
      </c>
      <c r="C29" s="160">
        <v>0</v>
      </c>
      <c r="D29" s="93">
        <v>0</v>
      </c>
      <c r="E29" s="100">
        <v>0</v>
      </c>
      <c r="F29" s="100">
        <v>1</v>
      </c>
      <c r="G29" s="93">
        <f t="shared" si="0"/>
        <v>1</v>
      </c>
      <c r="H29" s="157">
        <f>G29/G30</f>
        <v>9.6936797208220236E-5</v>
      </c>
    </row>
    <row r="30" spans="1:8" ht="24" customHeight="1" thickBot="1">
      <c r="A30" s="501" t="s">
        <v>6</v>
      </c>
      <c r="B30" s="501"/>
      <c r="C30" s="161">
        <f t="shared" ref="C30:H30" si="1">SUM(C7:C29)</f>
        <v>22</v>
      </c>
      <c r="D30" s="161">
        <f t="shared" si="1"/>
        <v>0</v>
      </c>
      <c r="E30" s="98">
        <f t="shared" si="1"/>
        <v>372</v>
      </c>
      <c r="F30" s="98">
        <f>SUM(F7:F29)</f>
        <v>9922</v>
      </c>
      <c r="G30" s="99">
        <f t="shared" si="1"/>
        <v>10316</v>
      </c>
      <c r="H30" s="159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496">
        <v>43089</v>
      </c>
      <c r="B33" s="496"/>
      <c r="F33" s="87" t="s">
        <v>93</v>
      </c>
    </row>
    <row r="34" spans="1:6">
      <c r="B34" s="101"/>
    </row>
  </sheetData>
  <mergeCells count="9">
    <mergeCell ref="H5:H6"/>
    <mergeCell ref="C4:H4"/>
    <mergeCell ref="A33:B33"/>
    <mergeCell ref="A30:B30"/>
    <mergeCell ref="A2:G2"/>
    <mergeCell ref="A3:C3"/>
    <mergeCell ref="C5:D5"/>
    <mergeCell ref="E5:F5"/>
    <mergeCell ref="G5:G6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K15" sqref="K15"/>
    </sheetView>
  </sheetViews>
  <sheetFormatPr defaultRowHeight="12.75"/>
  <cols>
    <col min="1" max="1" width="5.42578125" customWidth="1"/>
    <col min="2" max="2" width="53.42578125" customWidth="1"/>
    <col min="3" max="7" width="12.7109375" customWidth="1"/>
    <col min="8" max="8" width="12.28515625" customWidth="1"/>
  </cols>
  <sheetData>
    <row r="1" spans="1:8">
      <c r="A1" s="122" t="s">
        <v>115</v>
      </c>
      <c r="B1" s="24"/>
    </row>
    <row r="2" spans="1:8" ht="30.75" customHeight="1">
      <c r="A2" s="500" t="s">
        <v>145</v>
      </c>
      <c r="B2" s="500"/>
      <c r="C2" s="500"/>
      <c r="D2" s="500"/>
      <c r="E2" s="500"/>
      <c r="F2" s="500"/>
      <c r="G2" s="500"/>
    </row>
    <row r="3" spans="1:8" ht="11.25" customHeight="1" thickBot="1">
      <c r="A3" s="461"/>
      <c r="B3" s="461"/>
      <c r="C3" s="461"/>
    </row>
    <row r="4" spans="1:8" ht="14.25" customHeight="1">
      <c r="A4" s="142"/>
      <c r="B4" s="133"/>
      <c r="C4" s="475" t="s">
        <v>62</v>
      </c>
      <c r="D4" s="464"/>
      <c r="E4" s="464"/>
      <c r="F4" s="464"/>
      <c r="G4" s="464"/>
      <c r="H4" s="465"/>
    </row>
    <row r="5" spans="1:8" ht="13.5" customHeight="1">
      <c r="A5" s="143" t="s">
        <v>63</v>
      </c>
      <c r="B5" s="134" t="s">
        <v>64</v>
      </c>
      <c r="C5" s="476" t="s">
        <v>65</v>
      </c>
      <c r="D5" s="467"/>
      <c r="E5" s="468" t="s">
        <v>66</v>
      </c>
      <c r="F5" s="468"/>
      <c r="G5" s="469" t="s">
        <v>6</v>
      </c>
      <c r="H5" s="498" t="s">
        <v>116</v>
      </c>
    </row>
    <row r="6" spans="1:8" ht="24" customHeight="1" thickBot="1">
      <c r="A6" s="141"/>
      <c r="B6" s="135"/>
      <c r="C6" s="150" t="s">
        <v>67</v>
      </c>
      <c r="D6" s="105" t="s">
        <v>68</v>
      </c>
      <c r="E6" s="105" t="s">
        <v>68</v>
      </c>
      <c r="F6" s="105" t="s">
        <v>69</v>
      </c>
      <c r="G6" s="497"/>
      <c r="H6" s="499"/>
    </row>
    <row r="7" spans="1:8" ht="14.25" customHeight="1">
      <c r="A7" s="162">
        <v>1</v>
      </c>
      <c r="B7" s="136" t="s">
        <v>70</v>
      </c>
      <c r="C7" s="127">
        <v>0</v>
      </c>
      <c r="D7" s="82">
        <v>0</v>
      </c>
      <c r="E7" s="92">
        <v>0</v>
      </c>
      <c r="F7" s="92">
        <v>70</v>
      </c>
      <c r="G7" s="80">
        <f>SUM(C7+D7+E7+F7)</f>
        <v>70</v>
      </c>
      <c r="H7" s="109">
        <f>G7/G30</f>
        <v>3.6712644883830701E-3</v>
      </c>
    </row>
    <row r="8" spans="1:8" ht="14.2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10</v>
      </c>
      <c r="G8" s="103">
        <f>SUM(C8+D8+E8+F8)</f>
        <v>10</v>
      </c>
      <c r="H8" s="110">
        <f>G8/G30</f>
        <v>5.244663554832957E-4</v>
      </c>
    </row>
    <row r="9" spans="1:8" ht="12.75" customHeight="1">
      <c r="A9" s="145">
        <v>3</v>
      </c>
      <c r="B9" s="137" t="s">
        <v>72</v>
      </c>
      <c r="C9" s="128">
        <v>27</v>
      </c>
      <c r="D9" s="63">
        <v>0</v>
      </c>
      <c r="E9" s="64">
        <v>3</v>
      </c>
      <c r="F9" s="64">
        <f>907+1</f>
        <v>908</v>
      </c>
      <c r="G9" s="103">
        <f t="shared" ref="G9:G29" si="0">SUM(C9+D9+E9+F9)</f>
        <v>938</v>
      </c>
      <c r="H9" s="110">
        <f>G9/G30</f>
        <v>4.919494414433314E-2</v>
      </c>
    </row>
    <row r="10" spans="1:8" ht="1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2</v>
      </c>
      <c r="G10" s="104">
        <f t="shared" si="0"/>
        <v>2</v>
      </c>
      <c r="H10" s="110">
        <f>G10/G30</f>
        <v>1.0489327109665915E-4</v>
      </c>
    </row>
    <row r="11" spans="1:8" ht="24" customHeight="1">
      <c r="A11" s="145">
        <v>5</v>
      </c>
      <c r="B11" s="137" t="s">
        <v>74</v>
      </c>
      <c r="C11" s="128">
        <v>0</v>
      </c>
      <c r="D11" s="63">
        <v>0</v>
      </c>
      <c r="E11" s="64">
        <v>0</v>
      </c>
      <c r="F11" s="64">
        <v>4</v>
      </c>
      <c r="G11" s="104">
        <f t="shared" si="0"/>
        <v>4</v>
      </c>
      <c r="H11" s="110">
        <f>G11/G30</f>
        <v>2.0978654219331829E-4</v>
      </c>
    </row>
    <row r="12" spans="1:8" ht="12.75" customHeight="1">
      <c r="A12" s="145">
        <v>6</v>
      </c>
      <c r="B12" s="137" t="s">
        <v>75</v>
      </c>
      <c r="C12" s="129">
        <v>0</v>
      </c>
      <c r="D12" s="58">
        <v>0</v>
      </c>
      <c r="E12" s="59">
        <v>7</v>
      </c>
      <c r="F12" s="59">
        <v>553</v>
      </c>
      <c r="G12" s="104">
        <f t="shared" si="0"/>
        <v>560</v>
      </c>
      <c r="H12" s="110">
        <f>G12/G30</f>
        <v>2.9370115907064561E-2</v>
      </c>
    </row>
    <row r="13" spans="1:8" ht="24" customHeight="1">
      <c r="A13" s="145">
        <v>7</v>
      </c>
      <c r="B13" s="137" t="s">
        <v>76</v>
      </c>
      <c r="C13" s="129">
        <v>0</v>
      </c>
      <c r="D13" s="58">
        <v>157</v>
      </c>
      <c r="E13" s="59">
        <v>39</v>
      </c>
      <c r="F13" s="59">
        <f>2838+1</f>
        <v>2839</v>
      </c>
      <c r="G13" s="104">
        <f t="shared" si="0"/>
        <v>3035</v>
      </c>
      <c r="H13" s="110">
        <f>G13/G30</f>
        <v>0.15917553888918026</v>
      </c>
    </row>
    <row r="14" spans="1:8" ht="14.25" customHeight="1">
      <c r="A14" s="145">
        <v>8</v>
      </c>
      <c r="B14" s="137" t="s">
        <v>77</v>
      </c>
      <c r="C14" s="129">
        <v>0</v>
      </c>
      <c r="D14" s="58">
        <v>20</v>
      </c>
      <c r="E14" s="58">
        <v>12</v>
      </c>
      <c r="F14" s="59">
        <v>788</v>
      </c>
      <c r="G14" s="104">
        <f t="shared" si="0"/>
        <v>820</v>
      </c>
      <c r="H14" s="110">
        <f>G14/G30</f>
        <v>4.3006241149630253E-2</v>
      </c>
    </row>
    <row r="15" spans="1:8" ht="24" customHeight="1">
      <c r="A15" s="145">
        <v>9</v>
      </c>
      <c r="B15" s="137" t="s">
        <v>78</v>
      </c>
      <c r="C15" s="128">
        <v>0</v>
      </c>
      <c r="D15" s="63">
        <v>1339</v>
      </c>
      <c r="E15" s="58">
        <v>4471</v>
      </c>
      <c r="F15" s="64">
        <f>2640+1</f>
        <v>2641</v>
      </c>
      <c r="G15" s="104">
        <f t="shared" si="0"/>
        <v>8451</v>
      </c>
      <c r="H15" s="110">
        <f>G15/G30</f>
        <v>0.44322651701893323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2</v>
      </c>
      <c r="F16" s="64">
        <v>297</v>
      </c>
      <c r="G16" s="103">
        <f t="shared" si="0"/>
        <v>299</v>
      </c>
      <c r="H16" s="110">
        <f>G16/G30</f>
        <v>1.5681544028950542E-2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f>375+1</f>
        <v>376</v>
      </c>
      <c r="G17" s="104">
        <f t="shared" si="0"/>
        <v>376</v>
      </c>
      <c r="H17" s="110">
        <f>G17/G30</f>
        <v>1.9719934966171922E-2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6</v>
      </c>
      <c r="F18" s="64">
        <f>129+1</f>
        <v>130</v>
      </c>
      <c r="G18" s="103">
        <f t="shared" si="0"/>
        <v>136</v>
      </c>
      <c r="H18" s="110">
        <f>G18/G30</f>
        <v>7.1327424345728222E-3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f>662+1</f>
        <v>663</v>
      </c>
      <c r="G19" s="103">
        <f t="shared" si="0"/>
        <v>663</v>
      </c>
      <c r="H19" s="110">
        <f>G19/G30</f>
        <v>3.4772119368542506E-2</v>
      </c>
    </row>
    <row r="20" spans="1:8" ht="14.25" customHeight="1">
      <c r="A20" s="145">
        <v>14</v>
      </c>
      <c r="B20" s="137" t="s">
        <v>83</v>
      </c>
      <c r="C20" s="128">
        <v>0</v>
      </c>
      <c r="D20" s="63">
        <v>52</v>
      </c>
      <c r="E20" s="64">
        <v>8</v>
      </c>
      <c r="F20" s="64">
        <f>605+1</f>
        <v>606</v>
      </c>
      <c r="G20" s="103">
        <f t="shared" si="0"/>
        <v>666</v>
      </c>
      <c r="H20" s="110">
        <f>G20/G30</f>
        <v>3.4929459275187494E-2</v>
      </c>
    </row>
    <row r="21" spans="1:8" ht="13.5" customHeight="1">
      <c r="A21" s="146">
        <v>15</v>
      </c>
      <c r="B21" s="137" t="s">
        <v>84</v>
      </c>
      <c r="C21" s="128">
        <v>0</v>
      </c>
      <c r="D21" s="63">
        <v>8</v>
      </c>
      <c r="E21" s="64">
        <v>1</v>
      </c>
      <c r="F21" s="64">
        <v>769</v>
      </c>
      <c r="G21" s="103">
        <f t="shared" si="0"/>
        <v>778</v>
      </c>
      <c r="H21" s="110">
        <f>G21/G30</f>
        <v>4.0803482456600412E-2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12</v>
      </c>
      <c r="E22" s="64">
        <v>0</v>
      </c>
      <c r="F22" s="64">
        <f>330+2</f>
        <v>332</v>
      </c>
      <c r="G22" s="104">
        <f t="shared" si="0"/>
        <v>344</v>
      </c>
      <c r="H22" s="110">
        <f>G22/G30</f>
        <v>1.8041642628625374E-2</v>
      </c>
    </row>
    <row r="23" spans="1:8" ht="24" customHeight="1">
      <c r="A23" s="146">
        <v>17</v>
      </c>
      <c r="B23" s="137" t="s">
        <v>86</v>
      </c>
      <c r="C23" s="128">
        <v>0</v>
      </c>
      <c r="D23" s="63">
        <v>0</v>
      </c>
      <c r="E23" s="64">
        <v>1</v>
      </c>
      <c r="F23" s="64">
        <v>253</v>
      </c>
      <c r="G23" s="103">
        <f t="shared" si="0"/>
        <v>254</v>
      </c>
      <c r="H23" s="110">
        <f>G23/G30</f>
        <v>1.3321445429275712E-2</v>
      </c>
    </row>
    <row r="24" spans="1:8" ht="17.25" customHeight="1">
      <c r="A24" s="145">
        <v>18</v>
      </c>
      <c r="B24" s="138" t="s">
        <v>87</v>
      </c>
      <c r="C24" s="128">
        <v>0</v>
      </c>
      <c r="D24" s="63">
        <v>40</v>
      </c>
      <c r="E24" s="64">
        <v>8</v>
      </c>
      <c r="F24" s="64">
        <v>343</v>
      </c>
      <c r="G24" s="103">
        <f t="shared" si="0"/>
        <v>391</v>
      </c>
      <c r="H24" s="110">
        <f>G24/G30</f>
        <v>2.0506634499396863E-2</v>
      </c>
    </row>
    <row r="25" spans="1:8" ht="15.75" customHeight="1">
      <c r="A25" s="145">
        <v>19</v>
      </c>
      <c r="B25" s="138" t="s">
        <v>88</v>
      </c>
      <c r="C25" s="128">
        <v>0</v>
      </c>
      <c r="D25" s="63">
        <v>7</v>
      </c>
      <c r="E25" s="64">
        <v>22</v>
      </c>
      <c r="F25" s="64">
        <v>331</v>
      </c>
      <c r="G25" s="103">
        <f t="shared" si="0"/>
        <v>360</v>
      </c>
      <c r="H25" s="110">
        <f>G25/G30</f>
        <v>1.8880788797398646E-2</v>
      </c>
    </row>
    <row r="26" spans="1:8" ht="24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22</v>
      </c>
      <c r="G26" s="106">
        <f t="shared" si="0"/>
        <v>22</v>
      </c>
      <c r="H26" s="110">
        <f>G26/G30</f>
        <v>1.1538259820632506E-3</v>
      </c>
    </row>
    <row r="27" spans="1:8" ht="16.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6</v>
      </c>
      <c r="G27" s="103">
        <f t="shared" si="0"/>
        <v>6</v>
      </c>
      <c r="H27" s="110">
        <f>G27/G30</f>
        <v>3.1467981328997746E-4</v>
      </c>
    </row>
    <row r="28" spans="1:8" ht="14.25" customHeight="1">
      <c r="A28" s="145">
        <v>22</v>
      </c>
      <c r="B28" s="139" t="s">
        <v>91</v>
      </c>
      <c r="C28" s="128">
        <v>0</v>
      </c>
      <c r="D28" s="63">
        <v>0</v>
      </c>
      <c r="E28" s="64">
        <v>5</v>
      </c>
      <c r="F28" s="64">
        <f>854+23</f>
        <v>877</v>
      </c>
      <c r="G28" s="103">
        <f t="shared" si="0"/>
        <v>882</v>
      </c>
      <c r="H28" s="110">
        <f>G28/G30</f>
        <v>4.6257932553626688E-2</v>
      </c>
    </row>
    <row r="29" spans="1:8" ht="15" customHeight="1" thickBot="1">
      <c r="A29" s="147">
        <v>23</v>
      </c>
      <c r="B29" s="164" t="s">
        <v>92</v>
      </c>
      <c r="C29" s="160">
        <v>0</v>
      </c>
      <c r="D29" s="93">
        <v>0</v>
      </c>
      <c r="E29" s="100">
        <v>0</v>
      </c>
      <c r="F29" s="100">
        <v>0</v>
      </c>
      <c r="G29" s="107">
        <f t="shared" si="0"/>
        <v>0</v>
      </c>
      <c r="H29" s="111">
        <f>G29/G30</f>
        <v>0</v>
      </c>
    </row>
    <row r="30" spans="1:8" ht="24" customHeight="1" thickBot="1">
      <c r="A30" s="501" t="s">
        <v>6</v>
      </c>
      <c r="B30" s="501"/>
      <c r="C30" s="161">
        <f t="shared" ref="C30:H30" si="1">SUM(C7:C29)</f>
        <v>27</v>
      </c>
      <c r="D30" s="98">
        <f t="shared" si="1"/>
        <v>1635</v>
      </c>
      <c r="E30" s="98">
        <f t="shared" si="1"/>
        <v>4585</v>
      </c>
      <c r="F30" s="98">
        <f t="shared" si="1"/>
        <v>12820</v>
      </c>
      <c r="G30" s="108">
        <f t="shared" si="1"/>
        <v>19067</v>
      </c>
      <c r="H30" s="112">
        <f t="shared" si="1"/>
        <v>1.0000000000000002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496">
        <v>42751</v>
      </c>
      <c r="B33" s="496"/>
      <c r="F33" s="87" t="s">
        <v>93</v>
      </c>
    </row>
    <row r="34" spans="1:6">
      <c r="B34" s="101"/>
    </row>
  </sheetData>
  <mergeCells count="9">
    <mergeCell ref="H5:H6"/>
    <mergeCell ref="C4:H4"/>
    <mergeCell ref="A30:B30"/>
    <mergeCell ref="A33:B33"/>
    <mergeCell ref="A2:G2"/>
    <mergeCell ref="A3:C3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30" sqref="G30"/>
    </sheetView>
  </sheetViews>
  <sheetFormatPr defaultRowHeight="12.75"/>
  <cols>
    <col min="1" max="1" width="5.42578125" customWidth="1"/>
    <col min="2" max="2" width="52.7109375" customWidth="1"/>
    <col min="3" max="7" width="12.7109375" customWidth="1"/>
    <col min="8" max="8" width="12.5703125" customWidth="1"/>
  </cols>
  <sheetData>
    <row r="1" spans="1:8">
      <c r="A1" s="122" t="s">
        <v>126</v>
      </c>
      <c r="B1" s="24"/>
    </row>
    <row r="2" spans="1:8" ht="30.75" customHeight="1">
      <c r="A2" s="500" t="s">
        <v>146</v>
      </c>
      <c r="B2" s="500"/>
      <c r="C2" s="500"/>
      <c r="D2" s="500"/>
      <c r="E2" s="500"/>
      <c r="F2" s="500"/>
      <c r="G2" s="500"/>
    </row>
    <row r="3" spans="1:8" ht="11.25" customHeight="1" thickBot="1">
      <c r="A3" s="461"/>
      <c r="B3" s="461"/>
      <c r="C3" s="461"/>
    </row>
    <row r="4" spans="1:8" ht="14.25" customHeight="1">
      <c r="A4" s="142"/>
      <c r="B4" s="133"/>
      <c r="C4" s="480" t="s">
        <v>62</v>
      </c>
      <c r="D4" s="480"/>
      <c r="E4" s="480"/>
      <c r="F4" s="480"/>
      <c r="G4" s="480"/>
      <c r="H4" s="504"/>
    </row>
    <row r="5" spans="1:8" ht="13.5" customHeight="1">
      <c r="A5" s="143" t="s">
        <v>63</v>
      </c>
      <c r="B5" s="134" t="s">
        <v>64</v>
      </c>
      <c r="C5" s="483" t="s">
        <v>65</v>
      </c>
      <c r="D5" s="476"/>
      <c r="E5" s="484" t="s">
        <v>66</v>
      </c>
      <c r="F5" s="485"/>
      <c r="G5" s="502" t="s">
        <v>6</v>
      </c>
      <c r="H5" s="498" t="s">
        <v>116</v>
      </c>
    </row>
    <row r="6" spans="1:8" ht="24" customHeight="1" thickBot="1">
      <c r="A6" s="141"/>
      <c r="B6" s="141"/>
      <c r="C6" s="61" t="s">
        <v>67</v>
      </c>
      <c r="D6" s="62" t="s">
        <v>68</v>
      </c>
      <c r="E6" s="62" t="s">
        <v>68</v>
      </c>
      <c r="F6" s="97" t="s">
        <v>69</v>
      </c>
      <c r="G6" s="503"/>
      <c r="H6" s="499"/>
    </row>
    <row r="7" spans="1:8" ht="14.25" customHeight="1">
      <c r="A7" s="162">
        <v>1</v>
      </c>
      <c r="B7" s="163" t="s">
        <v>70</v>
      </c>
      <c r="C7" s="165">
        <v>0</v>
      </c>
      <c r="D7" s="96">
        <v>0</v>
      </c>
      <c r="E7" s="91">
        <v>0</v>
      </c>
      <c r="F7" s="91">
        <v>68</v>
      </c>
      <c r="G7" s="166">
        <f>SUM(C7+D7+E7+F7)</f>
        <v>68</v>
      </c>
      <c r="H7" s="110">
        <f>G7/G30</f>
        <v>2.8733203752218371E-3</v>
      </c>
    </row>
    <row r="8" spans="1:8" ht="14.25" customHeight="1">
      <c r="A8" s="145">
        <v>2</v>
      </c>
      <c r="B8" s="137" t="s">
        <v>71</v>
      </c>
      <c r="C8" s="128">
        <v>0</v>
      </c>
      <c r="D8" s="63">
        <v>0</v>
      </c>
      <c r="E8" s="64">
        <v>0</v>
      </c>
      <c r="F8" s="64">
        <v>10</v>
      </c>
      <c r="G8" s="103">
        <f>SUM(C8+D8+E8+F8)</f>
        <v>10</v>
      </c>
      <c r="H8" s="110">
        <f>G8/G30</f>
        <v>4.2254711400321134E-4</v>
      </c>
    </row>
    <row r="9" spans="1:8" ht="12.75" customHeight="1">
      <c r="A9" s="145">
        <v>3</v>
      </c>
      <c r="B9" s="137" t="s">
        <v>72</v>
      </c>
      <c r="C9" s="128">
        <v>26</v>
      </c>
      <c r="D9" s="63">
        <v>0</v>
      </c>
      <c r="E9" s="64">
        <v>4</v>
      </c>
      <c r="F9" s="64">
        <f>904+2</f>
        <v>906</v>
      </c>
      <c r="G9" s="103">
        <f t="shared" ref="G9:G29" si="0">SUM(C9+D9+E9+F9)</f>
        <v>936</v>
      </c>
      <c r="H9" s="110">
        <f>G9/G30</f>
        <v>3.9550409870700583E-2</v>
      </c>
    </row>
    <row r="10" spans="1:8" ht="15" customHeight="1">
      <c r="A10" s="145">
        <v>4</v>
      </c>
      <c r="B10" s="137" t="s">
        <v>73</v>
      </c>
      <c r="C10" s="129">
        <v>0</v>
      </c>
      <c r="D10" s="66">
        <v>0</v>
      </c>
      <c r="E10" s="67">
        <v>0</v>
      </c>
      <c r="F10" s="59">
        <v>1</v>
      </c>
      <c r="G10" s="104">
        <f t="shared" si="0"/>
        <v>1</v>
      </c>
      <c r="H10" s="110">
        <f>G10/G30</f>
        <v>4.2254711400321138E-5</v>
      </c>
    </row>
    <row r="11" spans="1:8" ht="24" customHeight="1">
      <c r="A11" s="145">
        <v>5</v>
      </c>
      <c r="B11" s="137" t="s">
        <v>74</v>
      </c>
      <c r="C11" s="128">
        <v>0</v>
      </c>
      <c r="D11" s="63">
        <v>0</v>
      </c>
      <c r="E11" s="64">
        <v>9</v>
      </c>
      <c r="F11" s="64">
        <v>4</v>
      </c>
      <c r="G11" s="104">
        <f t="shared" si="0"/>
        <v>13</v>
      </c>
      <c r="H11" s="110">
        <f>G11/G30</f>
        <v>5.493112482041748E-4</v>
      </c>
    </row>
    <row r="12" spans="1:8" ht="12.75" customHeight="1">
      <c r="A12" s="145">
        <v>6</v>
      </c>
      <c r="B12" s="137" t="s">
        <v>75</v>
      </c>
      <c r="C12" s="129">
        <v>0</v>
      </c>
      <c r="D12" s="58">
        <v>0</v>
      </c>
      <c r="E12" s="59">
        <v>51</v>
      </c>
      <c r="F12" s="59">
        <v>563</v>
      </c>
      <c r="G12" s="104">
        <f t="shared" si="0"/>
        <v>614</v>
      </c>
      <c r="H12" s="110">
        <f>G12/G30</f>
        <v>2.5944392799797177E-2</v>
      </c>
    </row>
    <row r="13" spans="1:8" ht="24" customHeight="1">
      <c r="A13" s="145">
        <v>7</v>
      </c>
      <c r="B13" s="137" t="s">
        <v>76</v>
      </c>
      <c r="C13" s="129">
        <v>0</v>
      </c>
      <c r="D13" s="58">
        <v>217</v>
      </c>
      <c r="E13" s="59">
        <v>12</v>
      </c>
      <c r="F13" s="59">
        <f>2941+1</f>
        <v>2942</v>
      </c>
      <c r="G13" s="104">
        <f t="shared" si="0"/>
        <v>3171</v>
      </c>
      <c r="H13" s="110">
        <f>G13/G30</f>
        <v>0.13398968985041831</v>
      </c>
    </row>
    <row r="14" spans="1:8" ht="14.25" customHeight="1">
      <c r="A14" s="145">
        <v>8</v>
      </c>
      <c r="B14" s="137" t="s">
        <v>77</v>
      </c>
      <c r="C14" s="129">
        <v>0</v>
      </c>
      <c r="D14" s="58">
        <v>22</v>
      </c>
      <c r="E14" s="58">
        <v>5765</v>
      </c>
      <c r="F14" s="59">
        <v>961</v>
      </c>
      <c r="G14" s="104">
        <f t="shared" si="0"/>
        <v>6748</v>
      </c>
      <c r="H14" s="110">
        <f>G14/G30</f>
        <v>0.28513479252936702</v>
      </c>
    </row>
    <row r="15" spans="1:8" ht="24" customHeight="1">
      <c r="A15" s="145">
        <v>9</v>
      </c>
      <c r="B15" s="137" t="s">
        <v>78</v>
      </c>
      <c r="C15" s="128">
        <v>0</v>
      </c>
      <c r="D15" s="63">
        <v>2706</v>
      </c>
      <c r="E15" s="58">
        <v>0</v>
      </c>
      <c r="F15" s="64">
        <f>3051+1</f>
        <v>3052</v>
      </c>
      <c r="G15" s="104">
        <f t="shared" si="0"/>
        <v>5758</v>
      </c>
      <c r="H15" s="110">
        <f>G15/G30</f>
        <v>0.2433026282430491</v>
      </c>
    </row>
    <row r="16" spans="1:8" ht="15" customHeight="1">
      <c r="A16" s="145">
        <v>10</v>
      </c>
      <c r="B16" s="137" t="s">
        <v>79</v>
      </c>
      <c r="C16" s="128">
        <v>0</v>
      </c>
      <c r="D16" s="63">
        <v>0</v>
      </c>
      <c r="E16" s="64">
        <v>2</v>
      </c>
      <c r="F16" s="64">
        <v>285</v>
      </c>
      <c r="G16" s="103">
        <f t="shared" si="0"/>
        <v>287</v>
      </c>
      <c r="H16" s="110">
        <f>G16/G30</f>
        <v>1.2127102171892166E-2</v>
      </c>
    </row>
    <row r="17" spans="1:8" ht="15" customHeight="1">
      <c r="A17" s="145">
        <v>11</v>
      </c>
      <c r="B17" s="137" t="s">
        <v>80</v>
      </c>
      <c r="C17" s="128">
        <v>0</v>
      </c>
      <c r="D17" s="63">
        <v>0</v>
      </c>
      <c r="E17" s="64">
        <v>0</v>
      </c>
      <c r="F17" s="59">
        <f>373+1</f>
        <v>374</v>
      </c>
      <c r="G17" s="104">
        <f t="shared" si="0"/>
        <v>374</v>
      </c>
      <c r="H17" s="110">
        <f>G17/G30</f>
        <v>1.5803262063720104E-2</v>
      </c>
    </row>
    <row r="18" spans="1:8" ht="15" customHeight="1">
      <c r="A18" s="145">
        <v>12</v>
      </c>
      <c r="B18" s="137" t="s">
        <v>81</v>
      </c>
      <c r="C18" s="128">
        <v>0</v>
      </c>
      <c r="D18" s="63">
        <v>0</v>
      </c>
      <c r="E18" s="64">
        <v>7</v>
      </c>
      <c r="F18" s="64">
        <f>151+1</f>
        <v>152</v>
      </c>
      <c r="G18" s="103">
        <f t="shared" si="0"/>
        <v>159</v>
      </c>
      <c r="H18" s="110">
        <f>G18/G30</f>
        <v>6.7184991126510605E-3</v>
      </c>
    </row>
    <row r="19" spans="1:8" ht="15" customHeight="1">
      <c r="A19" s="145">
        <v>13</v>
      </c>
      <c r="B19" s="137" t="s">
        <v>82</v>
      </c>
      <c r="C19" s="128">
        <v>0</v>
      </c>
      <c r="D19" s="63">
        <v>0</v>
      </c>
      <c r="E19" s="64">
        <v>0</v>
      </c>
      <c r="F19" s="64">
        <v>656</v>
      </c>
      <c r="G19" s="103">
        <f t="shared" si="0"/>
        <v>656</v>
      </c>
      <c r="H19" s="110">
        <f>G19/G30</f>
        <v>2.7719090678610666E-2</v>
      </c>
    </row>
    <row r="20" spans="1:8" ht="14.25" customHeight="1">
      <c r="A20" s="145">
        <v>14</v>
      </c>
      <c r="B20" s="137" t="s">
        <v>83</v>
      </c>
      <c r="C20" s="128">
        <v>0</v>
      </c>
      <c r="D20" s="63">
        <v>52</v>
      </c>
      <c r="E20" s="64">
        <v>21</v>
      </c>
      <c r="F20" s="64">
        <f>706+1</f>
        <v>707</v>
      </c>
      <c r="G20" s="103">
        <f t="shared" si="0"/>
        <v>780</v>
      </c>
      <c r="H20" s="110">
        <f>G20/G30</f>
        <v>3.2958674892250489E-2</v>
      </c>
    </row>
    <row r="21" spans="1:8" ht="13.5" customHeight="1">
      <c r="A21" s="146">
        <v>15</v>
      </c>
      <c r="B21" s="137" t="s">
        <v>84</v>
      </c>
      <c r="C21" s="128">
        <v>0</v>
      </c>
      <c r="D21" s="63">
        <v>14</v>
      </c>
      <c r="E21" s="64">
        <v>5</v>
      </c>
      <c r="F21" s="64">
        <v>1740</v>
      </c>
      <c r="G21" s="103">
        <f t="shared" si="0"/>
        <v>1759</v>
      </c>
      <c r="H21" s="110">
        <f>G21/G30</f>
        <v>7.4326037353164884E-2</v>
      </c>
    </row>
    <row r="22" spans="1:8" ht="15" customHeight="1">
      <c r="A22" s="145">
        <v>16</v>
      </c>
      <c r="B22" s="137" t="s">
        <v>85</v>
      </c>
      <c r="C22" s="128">
        <v>0</v>
      </c>
      <c r="D22" s="63">
        <v>10</v>
      </c>
      <c r="E22" s="64">
        <v>0</v>
      </c>
      <c r="F22" s="64">
        <f>324+2</f>
        <v>326</v>
      </c>
      <c r="G22" s="104">
        <f t="shared" si="0"/>
        <v>336</v>
      </c>
      <c r="H22" s="110">
        <f>G22/G30</f>
        <v>1.4197583030507901E-2</v>
      </c>
    </row>
    <row r="23" spans="1:8" ht="24" customHeight="1">
      <c r="A23" s="146">
        <v>17</v>
      </c>
      <c r="B23" s="137" t="s">
        <v>86</v>
      </c>
      <c r="C23" s="128">
        <v>0</v>
      </c>
      <c r="D23" s="63">
        <v>0</v>
      </c>
      <c r="E23" s="64">
        <v>1</v>
      </c>
      <c r="F23" s="64">
        <v>255</v>
      </c>
      <c r="G23" s="103">
        <f t="shared" si="0"/>
        <v>256</v>
      </c>
      <c r="H23" s="110">
        <f>G23/G30</f>
        <v>1.0817206118482211E-2</v>
      </c>
    </row>
    <row r="24" spans="1:8" ht="17.25" customHeight="1">
      <c r="A24" s="145">
        <v>18</v>
      </c>
      <c r="B24" s="138" t="s">
        <v>87</v>
      </c>
      <c r="C24" s="128">
        <v>0</v>
      </c>
      <c r="D24" s="63">
        <v>41</v>
      </c>
      <c r="E24" s="64">
        <v>12</v>
      </c>
      <c r="F24" s="64">
        <v>371</v>
      </c>
      <c r="G24" s="103">
        <f t="shared" si="0"/>
        <v>424</v>
      </c>
      <c r="H24" s="110">
        <f>G24/G30</f>
        <v>1.791599763373616E-2</v>
      </c>
    </row>
    <row r="25" spans="1:8" ht="15.75" customHeight="1">
      <c r="A25" s="145">
        <v>19</v>
      </c>
      <c r="B25" s="138" t="s">
        <v>88</v>
      </c>
      <c r="C25" s="128">
        <v>0</v>
      </c>
      <c r="D25" s="63">
        <v>15</v>
      </c>
      <c r="E25" s="64">
        <v>28</v>
      </c>
      <c r="F25" s="64">
        <v>386</v>
      </c>
      <c r="G25" s="103">
        <f t="shared" si="0"/>
        <v>429</v>
      </c>
      <c r="H25" s="110">
        <f>G25/G30</f>
        <v>1.8127271190737766E-2</v>
      </c>
    </row>
    <row r="26" spans="1:8" ht="24" customHeight="1">
      <c r="A26" s="146">
        <v>20</v>
      </c>
      <c r="B26" s="138" t="s">
        <v>89</v>
      </c>
      <c r="C26" s="128">
        <v>0</v>
      </c>
      <c r="D26" s="63">
        <v>0</v>
      </c>
      <c r="E26" s="64">
        <v>0</v>
      </c>
      <c r="F26" s="64">
        <v>25</v>
      </c>
      <c r="G26" s="106">
        <f t="shared" si="0"/>
        <v>25</v>
      </c>
      <c r="H26" s="110">
        <f>G26/G30</f>
        <v>1.0563677850080283E-3</v>
      </c>
    </row>
    <row r="27" spans="1:8" ht="16.5" customHeight="1">
      <c r="A27" s="145">
        <v>21</v>
      </c>
      <c r="B27" s="138" t="s">
        <v>90</v>
      </c>
      <c r="C27" s="128">
        <v>0</v>
      </c>
      <c r="D27" s="63">
        <v>0</v>
      </c>
      <c r="E27" s="64">
        <v>0</v>
      </c>
      <c r="F27" s="64">
        <v>6</v>
      </c>
      <c r="G27" s="103">
        <f t="shared" si="0"/>
        <v>6</v>
      </c>
      <c r="H27" s="110">
        <f>G27/G30</f>
        <v>2.5352826840192681E-4</v>
      </c>
    </row>
    <row r="28" spans="1:8" ht="14.25" customHeight="1">
      <c r="A28" s="145">
        <v>22</v>
      </c>
      <c r="B28" s="139" t="s">
        <v>91</v>
      </c>
      <c r="C28" s="128">
        <v>0</v>
      </c>
      <c r="D28" s="63">
        <v>6</v>
      </c>
      <c r="E28" s="64">
        <v>10</v>
      </c>
      <c r="F28" s="64">
        <f>819+21</f>
        <v>840</v>
      </c>
      <c r="G28" s="103">
        <f t="shared" si="0"/>
        <v>856</v>
      </c>
      <c r="H28" s="110">
        <f>G28/G30</f>
        <v>3.6170032958674894E-2</v>
      </c>
    </row>
    <row r="29" spans="1:8" ht="15" customHeight="1" thickBot="1">
      <c r="A29" s="147">
        <v>23</v>
      </c>
      <c r="B29" s="164" t="s">
        <v>92</v>
      </c>
      <c r="C29" s="160">
        <v>0</v>
      </c>
      <c r="D29" s="93">
        <v>0</v>
      </c>
      <c r="E29" s="100">
        <v>0</v>
      </c>
      <c r="F29" s="100">
        <v>0</v>
      </c>
      <c r="G29" s="107">
        <f t="shared" si="0"/>
        <v>0</v>
      </c>
      <c r="H29" s="157">
        <f>G29/G30</f>
        <v>0</v>
      </c>
    </row>
    <row r="30" spans="1:8" ht="24" customHeight="1" thickBot="1">
      <c r="A30" s="501" t="s">
        <v>6</v>
      </c>
      <c r="B30" s="501"/>
      <c r="C30" s="161">
        <f t="shared" ref="C30:H30" si="1">SUM(C7:C29)</f>
        <v>26</v>
      </c>
      <c r="D30" s="98">
        <f t="shared" si="1"/>
        <v>3083</v>
      </c>
      <c r="E30" s="98">
        <f t="shared" si="1"/>
        <v>5927</v>
      </c>
      <c r="F30" s="98">
        <f t="shared" si="1"/>
        <v>14630</v>
      </c>
      <c r="G30" s="99">
        <f t="shared" si="1"/>
        <v>23666</v>
      </c>
      <c r="H30" s="159">
        <f t="shared" si="1"/>
        <v>1.0000000000000002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9"/>
      <c r="B32" s="39"/>
      <c r="F32" s="87" t="s">
        <v>12</v>
      </c>
    </row>
    <row r="33" spans="1:6">
      <c r="A33" s="496">
        <v>43153</v>
      </c>
      <c r="B33" s="496"/>
      <c r="F33" s="87" t="s">
        <v>93</v>
      </c>
    </row>
    <row r="34" spans="1:6">
      <c r="B34" s="101"/>
    </row>
  </sheetData>
  <mergeCells count="9">
    <mergeCell ref="A30:B30"/>
    <mergeCell ref="A33:B33"/>
    <mergeCell ref="H5:H6"/>
    <mergeCell ref="A2:G2"/>
    <mergeCell ref="A3:C3"/>
    <mergeCell ref="C5:D5"/>
    <mergeCell ref="E5:F5"/>
    <mergeCell ref="G5:G6"/>
    <mergeCell ref="C4:H4"/>
  </mergeCells>
  <pageMargins left="0.70866141732283472" right="0.70866141732283472" top="0.35433070866141736" bottom="0.15748031496062992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S22" sqref="S22"/>
    </sheetView>
  </sheetViews>
  <sheetFormatPr defaultRowHeight="12.75"/>
  <cols>
    <col min="1" max="1" width="14.85546875" customWidth="1"/>
    <col min="4" max="4" width="9.7109375" customWidth="1"/>
    <col min="9" max="9" width="8.85546875" customWidth="1"/>
    <col min="10" max="10" width="9.5703125" customWidth="1"/>
    <col min="13" max="13" width="8.5703125" customWidth="1"/>
    <col min="14" max="14" width="10.7109375" customWidth="1"/>
  </cols>
  <sheetData>
    <row r="1" spans="1:14">
      <c r="A1" s="123" t="s">
        <v>99</v>
      </c>
      <c r="L1" s="410"/>
      <c r="M1" s="410"/>
      <c r="N1" s="410"/>
    </row>
    <row r="2" spans="1:14">
      <c r="A2" s="411" t="s">
        <v>50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>
      <c r="A3" s="412" t="s">
        <v>148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</row>
    <row r="4" spans="1:14" ht="13.5" thickBo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95" customHeight="1">
      <c r="A5" s="406" t="s">
        <v>0</v>
      </c>
      <c r="B5" s="413">
        <v>2016</v>
      </c>
      <c r="C5" s="413"/>
      <c r="D5" s="413"/>
      <c r="E5" s="413"/>
      <c r="F5" s="413"/>
      <c r="G5" s="413"/>
      <c r="H5" s="413">
        <v>2017</v>
      </c>
      <c r="I5" s="413"/>
      <c r="J5" s="413"/>
      <c r="K5" s="413"/>
      <c r="L5" s="413"/>
      <c r="M5" s="413"/>
      <c r="N5" s="414" t="s">
        <v>119</v>
      </c>
    </row>
    <row r="6" spans="1:14" ht="15.95" customHeight="1">
      <c r="A6" s="407"/>
      <c r="B6" s="186" t="s">
        <v>1</v>
      </c>
      <c r="C6" s="186" t="s">
        <v>2</v>
      </c>
      <c r="D6" s="186" t="s">
        <v>3</v>
      </c>
      <c r="E6" s="186" t="s">
        <v>4</v>
      </c>
      <c r="F6" s="186" t="s">
        <v>5</v>
      </c>
      <c r="G6" s="186" t="s">
        <v>6</v>
      </c>
      <c r="H6" s="186" t="s">
        <v>1</v>
      </c>
      <c r="I6" s="186" t="s">
        <v>2</v>
      </c>
      <c r="J6" s="186" t="s">
        <v>3</v>
      </c>
      <c r="K6" s="186" t="s">
        <v>4</v>
      </c>
      <c r="L6" s="186" t="s">
        <v>5</v>
      </c>
      <c r="M6" s="186" t="s">
        <v>6</v>
      </c>
      <c r="N6" s="415"/>
    </row>
    <row r="7" spans="1:14" ht="15.95" customHeight="1">
      <c r="A7" s="15" t="s">
        <v>20</v>
      </c>
      <c r="B7" s="16">
        <v>4860</v>
      </c>
      <c r="C7" s="16">
        <v>3828</v>
      </c>
      <c r="D7" s="16">
        <v>8202</v>
      </c>
      <c r="E7" s="16">
        <v>5549</v>
      </c>
      <c r="F7" s="16">
        <v>5681</v>
      </c>
      <c r="G7" s="16">
        <v>28120</v>
      </c>
      <c r="H7" s="16">
        <f>'κατά επαρχία και φύλο το 2017'!B7+'κατά επαρχία και φύλο το 2017'!I7</f>
        <v>4710</v>
      </c>
      <c r="I7" s="16">
        <f>'κατά επαρχία και φύλο το 2017'!C7+'κατά επαρχία και φύλο το 2017'!J7</f>
        <v>3550</v>
      </c>
      <c r="J7" s="16">
        <f>'κατά επαρχία και φύλο το 2017'!D7+'κατά επαρχία και φύλο το 2017'!K7</f>
        <v>8229</v>
      </c>
      <c r="K7" s="16">
        <f>'κατά επαρχία και φύλο το 2017'!E7+'κατά επαρχία και φύλο το 2017'!L7</f>
        <v>4994</v>
      </c>
      <c r="L7" s="16">
        <f>'κατά επαρχία και φύλο το 2017'!F7+'κατά επαρχία και φύλο το 2017'!M7</f>
        <v>5728</v>
      </c>
      <c r="M7" s="16">
        <f t="shared" ref="M7:M12" si="0">SUM(H7:L7)</f>
        <v>27211</v>
      </c>
      <c r="N7" s="187">
        <f t="shared" ref="N7:N12" si="1">+(M7/G7)-1</f>
        <v>-3.232574679943101E-2</v>
      </c>
    </row>
    <row r="8" spans="1:14" ht="15.95" customHeight="1">
      <c r="A8" s="15" t="s">
        <v>21</v>
      </c>
      <c r="B8" s="16">
        <v>4734</v>
      </c>
      <c r="C8" s="16">
        <v>3800</v>
      </c>
      <c r="D8" s="16">
        <v>8075</v>
      </c>
      <c r="E8" s="16">
        <v>5649</v>
      </c>
      <c r="F8" s="16">
        <v>5745</v>
      </c>
      <c r="G8" s="16">
        <v>28003</v>
      </c>
      <c r="H8" s="16">
        <f>'κατά επαρχία και φύλο το 2017'!B8+'κατά επαρχία και φύλο το 2017'!I8</f>
        <v>4501</v>
      </c>
      <c r="I8" s="16">
        <f>'κατά επαρχία και φύλο το 2017'!C8+'κατά επαρχία και φύλο το 2017'!J8</f>
        <v>3365</v>
      </c>
      <c r="J8" s="16">
        <f>'κατά επαρχία και φύλο το 2017'!D8+'κατά επαρχία και φύλο το 2017'!K8</f>
        <v>8061</v>
      </c>
      <c r="K8" s="16">
        <f>'κατά επαρχία και φύλο το 2017'!E8+'κατά επαρχία και φύλο το 2017'!L8</f>
        <v>4861</v>
      </c>
      <c r="L8" s="16">
        <f>'κατά επαρχία και φύλο το 2017'!F8+'κατά επαρχία και φύλο το 2017'!M8</f>
        <v>5644</v>
      </c>
      <c r="M8" s="16">
        <f t="shared" si="0"/>
        <v>26432</v>
      </c>
      <c r="N8" s="187">
        <f t="shared" si="1"/>
        <v>-5.6101132021569078E-2</v>
      </c>
    </row>
    <row r="9" spans="1:14" ht="15.95" customHeight="1">
      <c r="A9" s="15" t="s">
        <v>22</v>
      </c>
      <c r="B9" s="16">
        <v>4501</v>
      </c>
      <c r="C9" s="16">
        <v>3393</v>
      </c>
      <c r="D9" s="16">
        <v>7741</v>
      </c>
      <c r="E9" s="16">
        <v>5196</v>
      </c>
      <c r="F9" s="16">
        <v>4506</v>
      </c>
      <c r="G9" s="16">
        <v>25337</v>
      </c>
      <c r="H9" s="16">
        <f>'κατά επαρχία και φύλο το 2017'!B9+'κατά επαρχία και φύλο το 2017'!I9</f>
        <v>4417</v>
      </c>
      <c r="I9" s="16">
        <f>'κατά επαρχία και φύλο το 2017'!C9+'κατά επαρχία και φύλο το 2017'!J9</f>
        <v>3182</v>
      </c>
      <c r="J9" s="16">
        <f>'κατά επαρχία και φύλο το 2017'!D9+'κατά επαρχία και φύλο το 2017'!K9</f>
        <v>7741</v>
      </c>
      <c r="K9" s="16">
        <f>'κατά επαρχία και φύλο το 2017'!E9+'κατά επαρχία και φύλο το 2017'!L9</f>
        <v>4641</v>
      </c>
      <c r="L9" s="16">
        <f>'κατά επαρχία και φύλο το 2017'!F9+'κατά επαρχία και φύλο το 2017'!M9</f>
        <v>4459</v>
      </c>
      <c r="M9" s="16">
        <f t="shared" si="0"/>
        <v>24440</v>
      </c>
      <c r="N9" s="187">
        <f t="shared" si="1"/>
        <v>-3.5402770651616233E-2</v>
      </c>
    </row>
    <row r="10" spans="1:14" ht="15.95" customHeight="1">
      <c r="A10" s="15" t="s">
        <v>23</v>
      </c>
      <c r="B10" s="16">
        <v>4464</v>
      </c>
      <c r="C10" s="16">
        <v>2705</v>
      </c>
      <c r="D10" s="16">
        <v>4535</v>
      </c>
      <c r="E10" s="16">
        <v>4470</v>
      </c>
      <c r="F10" s="16">
        <v>2557</v>
      </c>
      <c r="G10" s="16">
        <v>18731</v>
      </c>
      <c r="H10" s="16">
        <f>'κατά επαρχία και φύλο το 2017'!B10+'κατά επαρχία και φύλο το 2017'!I10</f>
        <v>4158</v>
      </c>
      <c r="I10" s="16">
        <f>'κατά επαρχία και φύλο το 2017'!C10+'κατά επαρχία και φύλο το 2017'!J10</f>
        <v>2550</v>
      </c>
      <c r="J10" s="16">
        <f>'κατά επαρχία και φύλο το 2017'!D10+'κατά επαρχία και φύλο το 2017'!K10</f>
        <v>4744</v>
      </c>
      <c r="K10" s="16">
        <f>'κατά επαρχία και φύλο το 2017'!E10+'κατά επαρχία και φύλο το 2017'!L10</f>
        <v>4142</v>
      </c>
      <c r="L10" s="16">
        <f>'κατά επαρχία και φύλο το 2017'!F10+'κατά επαρχία και φύλο το 2017'!M10</f>
        <v>2493</v>
      </c>
      <c r="M10" s="16">
        <f t="shared" si="0"/>
        <v>18087</v>
      </c>
      <c r="N10" s="187">
        <f t="shared" si="1"/>
        <v>-3.4381506593347932E-2</v>
      </c>
    </row>
    <row r="11" spans="1:14" ht="15.95" customHeight="1">
      <c r="A11" s="15" t="s">
        <v>24</v>
      </c>
      <c r="B11" s="16">
        <v>4194</v>
      </c>
      <c r="C11" s="16">
        <v>2266</v>
      </c>
      <c r="D11" s="16">
        <v>2292</v>
      </c>
      <c r="E11" s="16">
        <v>4182</v>
      </c>
      <c r="F11" s="16">
        <v>1796</v>
      </c>
      <c r="G11" s="16">
        <v>14730</v>
      </c>
      <c r="H11" s="16">
        <f>'κατά επαρχία και φύλο το 2017'!B11+'κατά επαρχία και φύλο το 2017'!I11</f>
        <v>3826</v>
      </c>
      <c r="I11" s="16">
        <f>'κατά επαρχία και φύλο το 2017'!C11+'κατά επαρχία και φύλο το 2017'!J11</f>
        <v>2049</v>
      </c>
      <c r="J11" s="16">
        <f>'κατά επαρχία και φύλο το 2017'!D11+'κατά επαρχία και φύλο το 2017'!K11</f>
        <v>2091</v>
      </c>
      <c r="K11" s="16">
        <f>'κατά επαρχία και φύλο το 2017'!E11+'κατά επαρχία και φύλο το 2017'!L11</f>
        <v>3908</v>
      </c>
      <c r="L11" s="16">
        <f>'κατά επαρχία και φύλο το 2017'!F11+'κατά επαρχία και φύλο το 2017'!M11</f>
        <v>1611</v>
      </c>
      <c r="M11" s="16">
        <f t="shared" si="0"/>
        <v>13485</v>
      </c>
      <c r="N11" s="187">
        <f t="shared" si="1"/>
        <v>-8.4521384928716858E-2</v>
      </c>
    </row>
    <row r="12" spans="1:14" ht="15.95" customHeight="1" thickBot="1">
      <c r="A12" s="79" t="s">
        <v>25</v>
      </c>
      <c r="B12" s="178">
        <v>5008</v>
      </c>
      <c r="C12" s="178">
        <v>2184</v>
      </c>
      <c r="D12" s="178">
        <v>739</v>
      </c>
      <c r="E12" s="178">
        <v>4566</v>
      </c>
      <c r="F12" s="178">
        <v>1465</v>
      </c>
      <c r="G12" s="178">
        <v>13962</v>
      </c>
      <c r="H12" s="16">
        <f>'κατά επαρχία και φύλο το 2017'!B12+'κατά επαρχία και φύλο το 2017'!I12</f>
        <v>4270</v>
      </c>
      <c r="I12" s="16">
        <f>'κατά επαρχία και φύλο το 2017'!C12+'κατά επαρχία και φύλο το 2017'!J12</f>
        <v>1948</v>
      </c>
      <c r="J12" s="16">
        <f>'κατά επαρχία και φύλο το 2017'!D12+'κατά επαρχία και φύλο το 2017'!K12</f>
        <v>591</v>
      </c>
      <c r="K12" s="16">
        <f>'κατά επαρχία και φύλο το 2017'!E12+'κατά επαρχία και φύλο το 2017'!L12</f>
        <v>4163</v>
      </c>
      <c r="L12" s="16">
        <f>'κατά επαρχία και φύλο το 2017'!F12+'κατά επαρχία και φύλο το 2017'!M12</f>
        <v>1322</v>
      </c>
      <c r="M12" s="16">
        <f t="shared" si="0"/>
        <v>12294</v>
      </c>
      <c r="N12" s="187">
        <f t="shared" si="1"/>
        <v>-0.11946712505371726</v>
      </c>
    </row>
    <row r="13" spans="1:14" ht="15.95" customHeight="1">
      <c r="A13" s="403" t="s">
        <v>45</v>
      </c>
      <c r="B13" s="285"/>
      <c r="C13" s="280"/>
      <c r="D13" s="280"/>
      <c r="E13" s="280"/>
      <c r="F13" s="280"/>
      <c r="G13" s="280"/>
      <c r="H13" s="285"/>
      <c r="I13" s="280"/>
      <c r="J13" s="280"/>
      <c r="K13" s="280"/>
      <c r="L13" s="280"/>
      <c r="M13" s="280"/>
      <c r="N13" s="281"/>
    </row>
    <row r="14" spans="1:14" ht="20.25" customHeight="1" thickBot="1">
      <c r="A14" s="400"/>
      <c r="B14" s="282">
        <v>4626.833333333333</v>
      </c>
      <c r="C14" s="282">
        <v>3029.3333333333335</v>
      </c>
      <c r="D14" s="282">
        <v>5264</v>
      </c>
      <c r="E14" s="282">
        <v>4935.333333333333</v>
      </c>
      <c r="F14" s="282">
        <v>3625</v>
      </c>
      <c r="G14" s="282">
        <v>21480.5</v>
      </c>
      <c r="H14" s="282">
        <f>AVERAGE(H7:H12)</f>
        <v>4313.666666666667</v>
      </c>
      <c r="I14" s="282">
        <f t="shared" ref="I14:M14" si="2">AVERAGE(I7:I12)</f>
        <v>2774</v>
      </c>
      <c r="J14" s="282">
        <f t="shared" si="2"/>
        <v>5242.833333333333</v>
      </c>
      <c r="K14" s="282">
        <f t="shared" si="2"/>
        <v>4451.5</v>
      </c>
      <c r="L14" s="282">
        <f t="shared" si="2"/>
        <v>3542.8333333333335</v>
      </c>
      <c r="M14" s="282">
        <f t="shared" si="2"/>
        <v>20324.833333333332</v>
      </c>
      <c r="N14" s="355">
        <f>M14/G14-1</f>
        <v>-5.3800733999053496E-2</v>
      </c>
    </row>
    <row r="15" spans="1:14" ht="15.95" customHeight="1">
      <c r="A15" s="78" t="s">
        <v>26</v>
      </c>
      <c r="B15" s="13">
        <v>5590</v>
      </c>
      <c r="C15" s="13">
        <v>2294</v>
      </c>
      <c r="D15" s="13">
        <v>727</v>
      </c>
      <c r="E15" s="13">
        <v>4964</v>
      </c>
      <c r="F15" s="13">
        <v>1507</v>
      </c>
      <c r="G15" s="13">
        <v>15082</v>
      </c>
      <c r="H15" s="13">
        <f>'κατά επαρχία και φύλο το 2017'!B15+'κατά επαρχία και φύλο το 2017'!I15</f>
        <v>4919</v>
      </c>
      <c r="I15" s="13">
        <f>'κατά επαρχία και φύλο το 2017'!C15+'κατά επαρχία και φύλο το 2017'!J15</f>
        <v>2181</v>
      </c>
      <c r="J15" s="13">
        <f>'κατά επαρχία και φύλο το 2017'!D15+'κατά επαρχία και φύλο το 2017'!K15</f>
        <v>678</v>
      </c>
      <c r="K15" s="13">
        <f>'κατά επαρχία και φύλο το 2017'!E15+'κατά επαρχία και φύλο το 2017'!L15</f>
        <v>4770</v>
      </c>
      <c r="L15" s="13">
        <f>'κατά επαρχία και φύλο το 2017'!F15+'κατά επαρχία και φύλο το 2017'!M15</f>
        <v>1412</v>
      </c>
      <c r="M15" s="13">
        <f>'κατά επαρχία και φύλο το 2017'!G15+'κατά επαρχία και φύλο το 2017'!N15</f>
        <v>13960</v>
      </c>
      <c r="N15" s="356">
        <f t="shared" ref="N15:N20" si="3">(M15/G15)-1</f>
        <v>-7.439331653626835E-2</v>
      </c>
    </row>
    <row r="16" spans="1:14" ht="15.95" customHeight="1">
      <c r="A16" s="15" t="s">
        <v>7</v>
      </c>
      <c r="B16" s="16">
        <v>5787</v>
      </c>
      <c r="C16" s="16">
        <v>2337</v>
      </c>
      <c r="D16" s="16">
        <v>739</v>
      </c>
      <c r="E16" s="16">
        <v>5039</v>
      </c>
      <c r="F16" s="16">
        <v>1517</v>
      </c>
      <c r="G16" s="16">
        <v>15419</v>
      </c>
      <c r="H16" s="13">
        <f>'κατά επαρχία και φύλο το 2017'!B16+'κατά επαρχία και φύλο το 2017'!I16</f>
        <v>5009</v>
      </c>
      <c r="I16" s="13">
        <f>'κατά επαρχία και φύλο το 2017'!C16+'κατά επαρχία και φύλο το 2017'!J16</f>
        <v>2133</v>
      </c>
      <c r="J16" s="13">
        <f>'κατά επαρχία και φύλο το 2017'!D16+'κατά επαρχία και φύλο το 2017'!K16</f>
        <v>681</v>
      </c>
      <c r="K16" s="13">
        <f>'κατά επαρχία και φύλο το 2017'!E16+'κατά επαρχία και φύλο το 2017'!L16</f>
        <v>4749</v>
      </c>
      <c r="L16" s="13">
        <f>'κατά επαρχία και φύλο το 2017'!F16+'κατά επαρχία και φύλο το 2017'!M16</f>
        <v>1363</v>
      </c>
      <c r="M16" s="13">
        <f>'κατά επαρχία και φύλο το 2017'!G16+'κατά επαρχία και φύλο το 2017'!N16</f>
        <v>13935</v>
      </c>
      <c r="N16" s="361">
        <f t="shared" si="3"/>
        <v>-9.6244892664894E-2</v>
      </c>
    </row>
    <row r="17" spans="1:20" ht="15.95" customHeight="1">
      <c r="A17" s="15" t="s">
        <v>27</v>
      </c>
      <c r="B17" s="16">
        <v>5166</v>
      </c>
      <c r="C17" s="16">
        <v>2126</v>
      </c>
      <c r="D17" s="16">
        <v>658</v>
      </c>
      <c r="E17" s="16">
        <v>4451</v>
      </c>
      <c r="F17" s="16">
        <v>1369</v>
      </c>
      <c r="G17" s="16">
        <v>13770</v>
      </c>
      <c r="H17" s="13">
        <f>'κατά επαρχία και φύλο το 2017'!B17+'κατά επαρχία και φύλο το 2017'!I17</f>
        <v>4268</v>
      </c>
      <c r="I17" s="13">
        <f>'κατά επαρχία και φύλο το 2017'!C17+'κατά επαρχία και φύλο το 2017'!J17</f>
        <v>1830</v>
      </c>
      <c r="J17" s="13">
        <f>'κατά επαρχία και φύλο το 2017'!D17+'κατά επαρχία και φύλο το 2017'!K17</f>
        <v>578</v>
      </c>
      <c r="K17" s="13">
        <f>'κατά επαρχία και φύλο το 2017'!E17+'κατά επαρχία και φύλο το 2017'!L17</f>
        <v>4182</v>
      </c>
      <c r="L17" s="13">
        <f>'κατά επαρχία και φύλο το 2017'!F17+'κατά επαρχία και φύλο το 2017'!M17</f>
        <v>1182</v>
      </c>
      <c r="M17" s="13">
        <f>'κατά επαρχία και φύλο το 2017'!G17+'κατά επαρχία και φύλο το 2017'!N17</f>
        <v>12040</v>
      </c>
      <c r="N17" s="361">
        <f t="shared" si="3"/>
        <v>-0.12563543936092958</v>
      </c>
    </row>
    <row r="18" spans="1:20" ht="15.95" customHeight="1">
      <c r="A18" s="15" t="s">
        <v>28</v>
      </c>
      <c r="B18" s="16">
        <v>4353</v>
      </c>
      <c r="C18" s="16">
        <v>1886</v>
      </c>
      <c r="D18" s="16">
        <v>796</v>
      </c>
      <c r="E18" s="16">
        <v>3875</v>
      </c>
      <c r="F18" s="16">
        <v>1431</v>
      </c>
      <c r="G18" s="16">
        <v>12341</v>
      </c>
      <c r="H18" s="13">
        <f>'κατά επαρχία και φύλο το 2017'!B18+'κατά επαρχία και φύλο το 2017'!I18</f>
        <v>3485</v>
      </c>
      <c r="I18" s="13">
        <f>'κατά επαρχία και φύλο το 2017'!C18+'κατά επαρχία και φύλο το 2017'!J18</f>
        <v>1556</v>
      </c>
      <c r="J18" s="13">
        <f>'κατά επαρχία και φύλο το 2017'!D18+'κατά επαρχία και φύλο το 2017'!K18</f>
        <v>683</v>
      </c>
      <c r="K18" s="13">
        <f>'κατά επαρχία και φύλο το 2017'!E18+'κατά επαρχία και φύλο το 2017'!L18</f>
        <v>3483</v>
      </c>
      <c r="L18" s="13">
        <f>'κατά επαρχία και φύλο το 2017'!F18+'κατά επαρχία και φύλο το 2017'!M18</f>
        <v>1109</v>
      </c>
      <c r="M18" s="13">
        <f>'κατά επαρχία και φύλο το 2017'!G18+'κατά επαρχία και φύλο το 2017'!N18</f>
        <v>10316</v>
      </c>
      <c r="N18" s="361">
        <f t="shared" si="3"/>
        <v>-0.16408718904464792</v>
      </c>
    </row>
    <row r="19" spans="1:20" ht="15.95" customHeight="1">
      <c r="A19" s="15" t="s">
        <v>29</v>
      </c>
      <c r="B19" s="16">
        <v>4295</v>
      </c>
      <c r="C19" s="16">
        <v>2704</v>
      </c>
      <c r="D19" s="16">
        <v>6390</v>
      </c>
      <c r="E19" s="16">
        <v>4252</v>
      </c>
      <c r="F19" s="16">
        <v>3351</v>
      </c>
      <c r="G19" s="16">
        <v>20992</v>
      </c>
      <c r="H19" s="13">
        <f>'κατά επαρχία και φύλο το 2017'!B19+'κατά επαρχία και φύλο το 2017'!I19</f>
        <v>3378</v>
      </c>
      <c r="I19" s="13">
        <f>'κατά επαρχία και φύλο το 2017'!C19+'κατά επαρχία και φύλο το 2017'!J19</f>
        <v>2405</v>
      </c>
      <c r="J19" s="13">
        <f>'κατά επαρχία και φύλο το 2017'!D19+'κατά επαρχία και φύλο το 2017'!K19</f>
        <v>6508</v>
      </c>
      <c r="K19" s="13">
        <f>'κατά επαρχία και φύλο το 2017'!E19+'κατά επαρχία και φύλο το 2017'!L19</f>
        <v>3684</v>
      </c>
      <c r="L19" s="13">
        <f>'κατά επαρχία και φύλο το 2017'!F19+'κατά επαρχία και φύλο το 2017'!M19</f>
        <v>3092</v>
      </c>
      <c r="M19" s="13">
        <f>'κατά επαρχία και φύλο το 2017'!G19+'κατά επαρχία και φύλο το 2017'!N19</f>
        <v>19067</v>
      </c>
      <c r="N19" s="361">
        <f t="shared" si="3"/>
        <v>-9.1701600609756073E-2</v>
      </c>
    </row>
    <row r="20" spans="1:20" ht="15.95" customHeight="1" thickBot="1">
      <c r="A20" s="79" t="s">
        <v>30</v>
      </c>
      <c r="B20" s="178">
        <v>4472</v>
      </c>
      <c r="C20" s="178">
        <v>3267</v>
      </c>
      <c r="D20" s="178">
        <v>7888</v>
      </c>
      <c r="E20" s="178">
        <v>4591</v>
      </c>
      <c r="F20" s="178">
        <v>5139</v>
      </c>
      <c r="G20" s="178">
        <v>25357</v>
      </c>
      <c r="H20" s="13">
        <f>'κατά επαρχία και φύλο το 2017'!B20+'κατά επαρχία και φύλο το 2017'!I20</f>
        <v>3670</v>
      </c>
      <c r="I20" s="13">
        <f>'κατά επαρχία και φύλο το 2017'!C20+'κατά επαρχία και φύλο το 2017'!J20</f>
        <v>3081</v>
      </c>
      <c r="J20" s="13">
        <f>'κατά επαρχία και φύλο το 2017'!D20+'κατά επαρχία και φύλο το 2017'!K20</f>
        <v>8142</v>
      </c>
      <c r="K20" s="13">
        <f>'κατά επαρχία και φύλο το 2017'!E20+'κατά επαρχία και φύλο το 2017'!L20</f>
        <v>3975</v>
      </c>
      <c r="L20" s="13">
        <f>'κατά επαρχία και φύλο το 2017'!F20+'κατά επαρχία και φύλο το 2017'!M20</f>
        <v>4798</v>
      </c>
      <c r="M20" s="13">
        <f>'κατά επαρχία και φύλο το 2017'!G20+'κατά επαρχία και φύλο το 2017'!N20</f>
        <v>23666</v>
      </c>
      <c r="N20" s="361">
        <f t="shared" si="3"/>
        <v>-6.6687699649012111E-2</v>
      </c>
      <c r="Q20" s="333"/>
    </row>
    <row r="21" spans="1:20" ht="15.95" customHeight="1">
      <c r="A21" s="403" t="s">
        <v>43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302"/>
    </row>
    <row r="22" spans="1:20" ht="21" customHeight="1" thickBot="1">
      <c r="A22" s="400"/>
      <c r="B22" s="282">
        <f>AVERAGE(B15:B20)</f>
        <v>4943.833333333333</v>
      </c>
      <c r="C22" s="282">
        <f t="shared" ref="C22:G22" si="4">AVERAGE(C15:C20)</f>
        <v>2435.6666666666665</v>
      </c>
      <c r="D22" s="282">
        <f t="shared" si="4"/>
        <v>2866.3333333333335</v>
      </c>
      <c r="E22" s="282">
        <f t="shared" si="4"/>
        <v>4528.666666666667</v>
      </c>
      <c r="F22" s="282">
        <f t="shared" si="4"/>
        <v>2385.6666666666665</v>
      </c>
      <c r="G22" s="282">
        <f t="shared" si="4"/>
        <v>17160.166666666668</v>
      </c>
      <c r="H22" s="282">
        <f>AVERAGE(H15:H20)</f>
        <v>4121.5</v>
      </c>
      <c r="I22" s="282">
        <f t="shared" ref="I22:M22" si="5">AVERAGE(I15:I20)</f>
        <v>2197.6666666666665</v>
      </c>
      <c r="J22" s="282">
        <f t="shared" si="5"/>
        <v>2878.3333333333335</v>
      </c>
      <c r="K22" s="282">
        <f t="shared" si="5"/>
        <v>4140.5</v>
      </c>
      <c r="L22" s="282">
        <f t="shared" si="5"/>
        <v>2159.3333333333335</v>
      </c>
      <c r="M22" s="282">
        <f t="shared" si="5"/>
        <v>15497.333333333334</v>
      </c>
      <c r="N22" s="386">
        <f>(M22/G22)-1</f>
        <v>-9.6900768252056624E-2</v>
      </c>
    </row>
    <row r="23" spans="1:20" ht="15.95" customHeight="1">
      <c r="A23" s="403" t="s">
        <v>48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</row>
    <row r="24" spans="1:20" ht="15.95" customHeight="1" thickBot="1">
      <c r="A24" s="400"/>
      <c r="B24" s="282">
        <f>AVERAGE(B14,B22)</f>
        <v>4785.333333333333</v>
      </c>
      <c r="C24" s="282">
        <f t="shared" ref="C24:M24" si="6">AVERAGE(C14,C22)</f>
        <v>2732.5</v>
      </c>
      <c r="D24" s="282">
        <f t="shared" si="6"/>
        <v>4065.166666666667</v>
      </c>
      <c r="E24" s="282">
        <f t="shared" si="6"/>
        <v>4732</v>
      </c>
      <c r="F24" s="282">
        <f t="shared" si="6"/>
        <v>3005.333333333333</v>
      </c>
      <c r="G24" s="282">
        <f t="shared" si="6"/>
        <v>19320.333333333336</v>
      </c>
      <c r="H24" s="282">
        <f t="shared" si="6"/>
        <v>4217.5833333333339</v>
      </c>
      <c r="I24" s="282">
        <f t="shared" si="6"/>
        <v>2485.833333333333</v>
      </c>
      <c r="J24" s="282">
        <f t="shared" si="6"/>
        <v>4060.583333333333</v>
      </c>
      <c r="K24" s="282">
        <f t="shared" si="6"/>
        <v>4296</v>
      </c>
      <c r="L24" s="282">
        <f t="shared" si="6"/>
        <v>2851.0833333333335</v>
      </c>
      <c r="M24" s="282">
        <f t="shared" si="6"/>
        <v>17911.083333333332</v>
      </c>
      <c r="N24" s="387">
        <f>(M24/G24)-1</f>
        <v>-7.2941288107520763E-2</v>
      </c>
      <c r="Q24" s="333"/>
    </row>
    <row r="25" spans="1:20">
      <c r="A25" s="9"/>
      <c r="B25" s="9"/>
      <c r="C25" s="10"/>
      <c r="D25" s="9"/>
      <c r="E25" s="9"/>
      <c r="F25" s="9"/>
      <c r="G25" s="9"/>
      <c r="H25" s="9"/>
      <c r="I25" s="9"/>
      <c r="J25" s="1"/>
      <c r="K25" s="1"/>
      <c r="L25" s="1"/>
      <c r="M25" s="1"/>
      <c r="N25" s="1"/>
    </row>
    <row r="26" spans="1:20">
      <c r="A26" s="17"/>
      <c r="B26" s="10"/>
      <c r="C26" s="9"/>
      <c r="D26" s="9"/>
      <c r="E26" s="9"/>
      <c r="F26" s="9"/>
      <c r="G26" s="9"/>
      <c r="H26" s="9"/>
      <c r="I26" s="9"/>
      <c r="J26" s="1"/>
      <c r="K26" s="1"/>
      <c r="L26" s="1"/>
      <c r="M26" s="1"/>
      <c r="N26" s="1"/>
    </row>
    <row r="27" spans="1:20">
      <c r="A27" s="17"/>
      <c r="B27" s="10"/>
      <c r="C27" s="9"/>
      <c r="D27" s="9"/>
      <c r="E27" s="9"/>
      <c r="F27" s="9"/>
      <c r="G27" s="9"/>
      <c r="H27" s="9"/>
      <c r="I27" s="9"/>
      <c r="J27" s="1"/>
      <c r="K27" s="1"/>
      <c r="L27" s="1"/>
      <c r="M27" s="1"/>
      <c r="N27" s="1"/>
      <c r="O27" s="333"/>
      <c r="P27" s="333"/>
      <c r="Q27" s="333"/>
      <c r="R27" s="333"/>
      <c r="S27" s="333"/>
      <c r="T27" s="333"/>
    </row>
    <row r="28" spans="1:20">
      <c r="A28" s="1"/>
      <c r="B28" s="10"/>
      <c r="C28" s="9"/>
      <c r="D28" s="9"/>
      <c r="E28" s="9"/>
      <c r="F28" s="9"/>
      <c r="G28" s="9"/>
      <c r="H28" s="9"/>
      <c r="I28" s="9"/>
      <c r="J28" s="1"/>
      <c r="K28" s="1"/>
      <c r="L28" s="2" t="s">
        <v>12</v>
      </c>
      <c r="M28" s="1"/>
      <c r="N28" s="1"/>
    </row>
    <row r="29" spans="1:20">
      <c r="A29" s="31">
        <f>'κατά επαρχία και φύλο το 2017'!A28</f>
        <v>43153</v>
      </c>
      <c r="B29" s="10"/>
      <c r="C29" s="18"/>
      <c r="D29" s="9"/>
      <c r="E29" s="9"/>
      <c r="F29" s="9"/>
      <c r="G29" s="9"/>
      <c r="H29" s="9"/>
      <c r="I29" s="9"/>
      <c r="J29" s="1"/>
      <c r="K29" s="10" t="s">
        <v>11</v>
      </c>
      <c r="L29" s="2"/>
      <c r="M29" s="1"/>
      <c r="N29" s="1"/>
    </row>
  </sheetData>
  <mergeCells count="10">
    <mergeCell ref="L1:N1"/>
    <mergeCell ref="A13:A14"/>
    <mergeCell ref="A21:A22"/>
    <mergeCell ref="A23:A24"/>
    <mergeCell ref="A2:N2"/>
    <mergeCell ref="A3:N3"/>
    <mergeCell ref="B5:G5"/>
    <mergeCell ref="H5:M5"/>
    <mergeCell ref="A5:A6"/>
    <mergeCell ref="N5:N6"/>
  </mergeCells>
  <phoneticPr fontId="10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workbookViewId="0">
      <selection activeCell="H26" sqref="H26"/>
    </sheetView>
  </sheetViews>
  <sheetFormatPr defaultRowHeight="12.75"/>
  <cols>
    <col min="1" max="1" width="13.5703125" customWidth="1"/>
    <col min="2" max="11" width="10.7109375" customWidth="1"/>
  </cols>
  <sheetData>
    <row r="1" spans="1:14">
      <c r="A1" s="123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4">
      <c r="A2" s="417" t="s">
        <v>104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37"/>
    </row>
    <row r="3" spans="1:14">
      <c r="A3" s="412" t="s">
        <v>149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2"/>
    </row>
    <row r="4" spans="1:14" ht="13.5" thickBot="1">
      <c r="A4" s="1"/>
      <c r="B4" s="2"/>
      <c r="C4" s="2"/>
      <c r="D4" s="1"/>
      <c r="E4" s="1"/>
      <c r="F4" s="1"/>
      <c r="G4" s="1"/>
      <c r="H4" s="1"/>
      <c r="I4" s="1"/>
      <c r="J4" s="1"/>
      <c r="K4" s="1"/>
      <c r="L4" s="2"/>
    </row>
    <row r="5" spans="1:14">
      <c r="A5" s="406" t="s">
        <v>0</v>
      </c>
      <c r="B5" s="421">
        <v>2016</v>
      </c>
      <c r="C5" s="422"/>
      <c r="D5" s="422"/>
      <c r="E5" s="422"/>
      <c r="F5" s="422"/>
      <c r="G5" s="423"/>
      <c r="H5" s="421">
        <v>2017</v>
      </c>
      <c r="I5" s="422"/>
      <c r="J5" s="422"/>
      <c r="K5" s="427"/>
      <c r="L5" s="8"/>
    </row>
    <row r="6" spans="1:14">
      <c r="A6" s="420"/>
      <c r="B6" s="424"/>
      <c r="C6" s="425"/>
      <c r="D6" s="425"/>
      <c r="E6" s="425"/>
      <c r="F6" s="425"/>
      <c r="G6" s="426"/>
      <c r="H6" s="424"/>
      <c r="I6" s="425"/>
      <c r="J6" s="425"/>
      <c r="K6" s="428"/>
      <c r="L6" s="10"/>
    </row>
    <row r="7" spans="1:14" ht="15.95" customHeight="1">
      <c r="A7" s="407"/>
      <c r="B7" s="26" t="s">
        <v>8</v>
      </c>
      <c r="C7" s="26" t="s">
        <v>10</v>
      </c>
      <c r="D7" s="26" t="s">
        <v>9</v>
      </c>
      <c r="E7" s="26" t="s">
        <v>10</v>
      </c>
      <c r="F7" s="26" t="s">
        <v>6</v>
      </c>
      <c r="G7" s="26" t="s">
        <v>8</v>
      </c>
      <c r="H7" s="26" t="s">
        <v>10</v>
      </c>
      <c r="I7" s="26" t="s">
        <v>9</v>
      </c>
      <c r="J7" s="26" t="s">
        <v>10</v>
      </c>
      <c r="K7" s="173" t="s">
        <v>6</v>
      </c>
      <c r="L7" s="9"/>
    </row>
    <row r="8" spans="1:14" ht="15.95" customHeight="1">
      <c r="A8" s="15" t="s">
        <v>20</v>
      </c>
      <c r="B8" s="16">
        <v>13207</v>
      </c>
      <c r="C8" s="188">
        <v>0.46966571834992887</v>
      </c>
      <c r="D8" s="16">
        <v>14913</v>
      </c>
      <c r="E8" s="188">
        <v>0.53033428165007113</v>
      </c>
      <c r="F8" s="16">
        <v>28120</v>
      </c>
      <c r="G8" s="16">
        <f>'κατά επαρχία και φύλο το 2017'!G7</f>
        <v>12181</v>
      </c>
      <c r="H8" s="188">
        <f t="shared" ref="H8:H13" si="0">+G8/K8</f>
        <v>0.44764984748814818</v>
      </c>
      <c r="I8" s="16">
        <f>'κατά επαρχία και φύλο το 2017'!N7</f>
        <v>15030</v>
      </c>
      <c r="J8" s="188">
        <f t="shared" ref="J8:J13" si="1">+I8/K8</f>
        <v>0.55235015251185182</v>
      </c>
      <c r="K8" s="73">
        <f t="shared" ref="K8:K13" si="2">SUM(G8+I8)</f>
        <v>27211</v>
      </c>
      <c r="L8" s="14"/>
    </row>
    <row r="9" spans="1:14" ht="15.95" customHeight="1">
      <c r="A9" s="15" t="s">
        <v>21</v>
      </c>
      <c r="B9" s="16">
        <v>13149</v>
      </c>
      <c r="C9" s="188">
        <v>0.46955683319644326</v>
      </c>
      <c r="D9" s="16">
        <v>14854</v>
      </c>
      <c r="E9" s="188">
        <v>0.53044316680355674</v>
      </c>
      <c r="F9" s="16">
        <v>28003</v>
      </c>
      <c r="G9" s="16">
        <f>'κατά επαρχία και φύλο το 2017'!G8</f>
        <v>11795</v>
      </c>
      <c r="H9" s="188">
        <f t="shared" si="0"/>
        <v>0.44623940677966101</v>
      </c>
      <c r="I9" s="16">
        <f>'κατά επαρχία και φύλο το 2017'!N8</f>
        <v>14637</v>
      </c>
      <c r="J9" s="188">
        <f t="shared" si="1"/>
        <v>0.55376059322033899</v>
      </c>
      <c r="K9" s="73">
        <f t="shared" si="2"/>
        <v>26432</v>
      </c>
      <c r="L9" s="14"/>
    </row>
    <row r="10" spans="1:14" ht="15.95" customHeight="1">
      <c r="A10" s="15" t="s">
        <v>22</v>
      </c>
      <c r="B10" s="16">
        <v>11937</v>
      </c>
      <c r="C10" s="188">
        <v>0.47112917867150805</v>
      </c>
      <c r="D10" s="16">
        <v>13400</v>
      </c>
      <c r="E10" s="188">
        <v>0.52887082132849195</v>
      </c>
      <c r="F10" s="16">
        <v>25337</v>
      </c>
      <c r="G10" s="16">
        <f>'κατά επαρχία και φύλο το 2017'!G9</f>
        <v>10885</v>
      </c>
      <c r="H10" s="188">
        <f t="shared" si="0"/>
        <v>0.44537643207855976</v>
      </c>
      <c r="I10" s="16">
        <f>'κατά επαρχία και φύλο το 2017'!N9</f>
        <v>13555</v>
      </c>
      <c r="J10" s="188">
        <f t="shared" si="1"/>
        <v>0.5546235679214403</v>
      </c>
      <c r="K10" s="73">
        <f t="shared" si="2"/>
        <v>24440</v>
      </c>
      <c r="L10" s="14"/>
    </row>
    <row r="11" spans="1:14" ht="15.95" customHeight="1">
      <c r="A11" s="15" t="s">
        <v>23</v>
      </c>
      <c r="B11" s="16">
        <v>8886</v>
      </c>
      <c r="C11" s="188">
        <v>0.47440072606908334</v>
      </c>
      <c r="D11" s="16">
        <v>9845</v>
      </c>
      <c r="E11" s="188">
        <v>0.52559927393091666</v>
      </c>
      <c r="F11" s="16">
        <v>18731</v>
      </c>
      <c r="G11" s="16">
        <f>'κατά επαρχία και φύλο το 2017'!G10</f>
        <v>8164</v>
      </c>
      <c r="H11" s="188">
        <f t="shared" si="0"/>
        <v>0.45137391496655055</v>
      </c>
      <c r="I11" s="16">
        <f>'κατά επαρχία και φύλο το 2017'!N10</f>
        <v>9923</v>
      </c>
      <c r="J11" s="188">
        <f t="shared" si="1"/>
        <v>0.54862608503344945</v>
      </c>
      <c r="K11" s="73">
        <f t="shared" si="2"/>
        <v>18087</v>
      </c>
      <c r="L11" s="14"/>
    </row>
    <row r="12" spans="1:14" ht="15.95" customHeight="1">
      <c r="A12" s="15" t="s">
        <v>24</v>
      </c>
      <c r="B12" s="16">
        <v>6829</v>
      </c>
      <c r="C12" s="188">
        <v>0.46361167684996607</v>
      </c>
      <c r="D12" s="16">
        <v>7901</v>
      </c>
      <c r="E12" s="188">
        <v>0.53638832315003393</v>
      </c>
      <c r="F12" s="16">
        <v>14730</v>
      </c>
      <c r="G12" s="16">
        <f>'κατά επαρχία και φύλο το 2017'!G11</f>
        <v>5794</v>
      </c>
      <c r="H12" s="188">
        <f t="shared" si="0"/>
        <v>0.42966258806080831</v>
      </c>
      <c r="I12" s="16">
        <f>'κατά επαρχία και φύλο το 2017'!N11</f>
        <v>7691</v>
      </c>
      <c r="J12" s="188">
        <f t="shared" si="1"/>
        <v>0.57033741193919174</v>
      </c>
      <c r="K12" s="73">
        <f t="shared" si="2"/>
        <v>13485</v>
      </c>
      <c r="L12" s="14"/>
    </row>
    <row r="13" spans="1:14" ht="15.95" customHeight="1" thickBot="1">
      <c r="A13" s="79" t="s">
        <v>25</v>
      </c>
      <c r="B13" s="178">
        <v>5739</v>
      </c>
      <c r="C13" s="189">
        <v>0.41104426299957025</v>
      </c>
      <c r="D13" s="178">
        <v>8223</v>
      </c>
      <c r="E13" s="189">
        <v>0.58895573700042969</v>
      </c>
      <c r="F13" s="178">
        <v>13962</v>
      </c>
      <c r="G13" s="16">
        <f>'κατά επαρχία και φύλο το 2017'!G12</f>
        <v>4584</v>
      </c>
      <c r="H13" s="188">
        <f t="shared" si="0"/>
        <v>0.37286481210346512</v>
      </c>
      <c r="I13" s="16">
        <f>'κατά επαρχία και φύλο το 2017'!N12</f>
        <v>7710</v>
      </c>
      <c r="J13" s="188">
        <f t="shared" si="1"/>
        <v>0.62713518789653488</v>
      </c>
      <c r="K13" s="73">
        <f t="shared" si="2"/>
        <v>12294</v>
      </c>
      <c r="L13" s="14"/>
    </row>
    <row r="14" spans="1:14" ht="15.95" customHeight="1">
      <c r="A14" s="418" t="s">
        <v>49</v>
      </c>
      <c r="B14" s="285"/>
      <c r="C14" s="280"/>
      <c r="D14" s="280"/>
      <c r="E14" s="280"/>
      <c r="F14" s="280"/>
      <c r="G14" s="285"/>
      <c r="H14" s="280"/>
      <c r="I14" s="280"/>
      <c r="J14" s="280"/>
      <c r="K14" s="286"/>
      <c r="L14" s="9"/>
    </row>
    <row r="15" spans="1:14" ht="22.5" customHeight="1" thickBot="1">
      <c r="A15" s="419"/>
      <c r="B15" s="282">
        <v>9957.8333333333339</v>
      </c>
      <c r="C15" s="289">
        <v>0.46357549094915546</v>
      </c>
      <c r="D15" s="282">
        <v>11522.666666666666</v>
      </c>
      <c r="E15" s="289">
        <v>0.53642450905084449</v>
      </c>
      <c r="F15" s="282">
        <v>21480.5</v>
      </c>
      <c r="G15" s="282">
        <f>AVERAGE(G8:G13)</f>
        <v>8900.5</v>
      </c>
      <c r="H15" s="289">
        <f t="shared" ref="H15:H21" si="3">+G15/K15</f>
        <v>0.4379125700087742</v>
      </c>
      <c r="I15" s="282">
        <f>AVERAGE(I8:I13)</f>
        <v>11424.333333333334</v>
      </c>
      <c r="J15" s="289">
        <f t="shared" ref="J15" si="4">+I15/K15</f>
        <v>0.56208742999122585</v>
      </c>
      <c r="K15" s="290">
        <f>AVERAGE(K8:K13)</f>
        <v>20324.833333333332</v>
      </c>
      <c r="L15" s="14"/>
      <c r="N15" s="336"/>
    </row>
    <row r="16" spans="1:14" ht="15.95" customHeight="1">
      <c r="A16" s="78" t="s">
        <v>26</v>
      </c>
      <c r="B16" s="13">
        <v>5655</v>
      </c>
      <c r="C16" s="12">
        <v>0.37495027184723512</v>
      </c>
      <c r="D16" s="13">
        <v>9427</v>
      </c>
      <c r="E16" s="12">
        <v>0.62504972815276494</v>
      </c>
      <c r="F16" s="13">
        <v>15082</v>
      </c>
      <c r="G16" s="13">
        <f>'κατά επαρχία και φύλο το 2017'!G15</f>
        <v>4726</v>
      </c>
      <c r="H16" s="358">
        <f t="shared" si="3"/>
        <v>0.33853868194842407</v>
      </c>
      <c r="I16" s="13">
        <f>'κατά επαρχία και φύλο το 2017'!N15</f>
        <v>9234</v>
      </c>
      <c r="J16" s="12">
        <f t="shared" ref="J16:J21" si="5">I16/K16</f>
        <v>0.66146131805157593</v>
      </c>
      <c r="K16" s="13">
        <f t="shared" ref="K16:K21" si="6">G16+I16</f>
        <v>13960</v>
      </c>
      <c r="L16" s="14"/>
      <c r="N16" s="336"/>
    </row>
    <row r="17" spans="1:19" ht="15.95" customHeight="1">
      <c r="A17" s="15" t="s">
        <v>7</v>
      </c>
      <c r="B17" s="16">
        <v>5630</v>
      </c>
      <c r="C17" s="188">
        <v>0.36513392567611391</v>
      </c>
      <c r="D17" s="16">
        <v>9789</v>
      </c>
      <c r="E17" s="188">
        <v>0.63486607432388609</v>
      </c>
      <c r="F17" s="16">
        <v>15419</v>
      </c>
      <c r="G17" s="13">
        <f>'κατά επαρχία και φύλο το 2017'!G16</f>
        <v>4617</v>
      </c>
      <c r="H17" s="359">
        <f t="shared" si="3"/>
        <v>0.33132400430570508</v>
      </c>
      <c r="I17" s="13">
        <f>'κατά επαρχία και φύλο το 2017'!N16</f>
        <v>9318</v>
      </c>
      <c r="J17" s="12">
        <f t="shared" si="5"/>
        <v>0.66867599569429492</v>
      </c>
      <c r="K17" s="13">
        <f t="shared" si="6"/>
        <v>13935</v>
      </c>
      <c r="L17" s="14"/>
    </row>
    <row r="18" spans="1:19" ht="15.95" customHeight="1">
      <c r="A18" s="15" t="s">
        <v>27</v>
      </c>
      <c r="B18" s="16">
        <v>5528</v>
      </c>
      <c r="C18" s="188">
        <v>0.40145243282498183</v>
      </c>
      <c r="D18" s="16">
        <v>8242</v>
      </c>
      <c r="E18" s="188">
        <v>0.59854756717501811</v>
      </c>
      <c r="F18" s="16">
        <v>13770</v>
      </c>
      <c r="G18" s="13">
        <f>'κατά επαρχία και φύλο το 2017'!G17</f>
        <v>4365</v>
      </c>
      <c r="H18" s="359">
        <f t="shared" si="3"/>
        <v>0.36254152823920266</v>
      </c>
      <c r="I18" s="13">
        <f>'κατά επαρχία και φύλο το 2017'!N17</f>
        <v>7675</v>
      </c>
      <c r="J18" s="12">
        <f t="shared" si="5"/>
        <v>0.6374584717607974</v>
      </c>
      <c r="K18" s="13">
        <f t="shared" si="6"/>
        <v>12040</v>
      </c>
      <c r="L18" s="14"/>
    </row>
    <row r="19" spans="1:19" ht="15.95" customHeight="1">
      <c r="A19" s="15" t="s">
        <v>28</v>
      </c>
      <c r="B19" s="16">
        <v>5404</v>
      </c>
      <c r="C19" s="188">
        <v>0.43788996029495181</v>
      </c>
      <c r="D19" s="16">
        <v>6937</v>
      </c>
      <c r="E19" s="188">
        <v>0.56211003970504825</v>
      </c>
      <c r="F19" s="16">
        <v>12341</v>
      </c>
      <c r="G19" s="13">
        <f>'κατά επαρχία και φύλο το 2017'!G18</f>
        <v>4231</v>
      </c>
      <c r="H19" s="359">
        <f t="shared" si="3"/>
        <v>0.41013958898797986</v>
      </c>
      <c r="I19" s="13">
        <f>'κατά επαρχία και φύλο το 2017'!N18</f>
        <v>6085</v>
      </c>
      <c r="J19" s="12">
        <f t="shared" si="5"/>
        <v>0.58986041101202014</v>
      </c>
      <c r="K19" s="13">
        <f t="shared" si="6"/>
        <v>10316</v>
      </c>
      <c r="L19" s="14"/>
    </row>
    <row r="20" spans="1:19" ht="15.95" customHeight="1">
      <c r="A20" s="15" t="s">
        <v>29</v>
      </c>
      <c r="B20" s="16">
        <v>9137</v>
      </c>
      <c r="C20" s="188">
        <v>0.43526105182926828</v>
      </c>
      <c r="D20" s="16">
        <v>11855</v>
      </c>
      <c r="E20" s="188">
        <v>0.56473894817073167</v>
      </c>
      <c r="F20" s="16">
        <v>20992</v>
      </c>
      <c r="G20" s="13">
        <f>'κατά επαρχία και φύλο το 2017'!G19</f>
        <v>8044</v>
      </c>
      <c r="H20" s="359">
        <f t="shared" si="3"/>
        <v>0.42188073635076312</v>
      </c>
      <c r="I20" s="13">
        <f>'κατά επαρχία και φύλο το 2017'!N19</f>
        <v>11023</v>
      </c>
      <c r="J20" s="12">
        <f t="shared" si="5"/>
        <v>0.57811926364923694</v>
      </c>
      <c r="K20" s="13">
        <f t="shared" si="6"/>
        <v>19067</v>
      </c>
      <c r="L20" s="14"/>
    </row>
    <row r="21" spans="1:19" ht="15.95" customHeight="1" thickBot="1">
      <c r="A21" s="79" t="s">
        <v>30</v>
      </c>
      <c r="B21" s="178">
        <v>11331</v>
      </c>
      <c r="C21" s="189">
        <v>0.44685885554284815</v>
      </c>
      <c r="D21" s="178">
        <v>14026</v>
      </c>
      <c r="E21" s="189">
        <v>0.5531411444571519</v>
      </c>
      <c r="F21" s="178">
        <v>25357</v>
      </c>
      <c r="G21" s="13">
        <f>'κατά επαρχία και φύλο το 2017'!G20</f>
        <v>10400</v>
      </c>
      <c r="H21" s="359">
        <f t="shared" si="3"/>
        <v>0.4394489985633398</v>
      </c>
      <c r="I21" s="13">
        <f>'κατά επαρχία και φύλο το 2017'!N20</f>
        <v>13266</v>
      </c>
      <c r="J21" s="12">
        <f t="shared" si="5"/>
        <v>0.56055100143666015</v>
      </c>
      <c r="K21" s="13">
        <f t="shared" si="6"/>
        <v>23666</v>
      </c>
      <c r="L21" s="14"/>
    </row>
    <row r="22" spans="1:19" ht="15.95" customHeight="1">
      <c r="A22" s="418" t="s">
        <v>47</v>
      </c>
      <c r="B22" s="280"/>
      <c r="C22" s="280"/>
      <c r="D22" s="280"/>
      <c r="E22" s="280"/>
      <c r="F22" s="280"/>
      <c r="G22" s="280"/>
      <c r="H22" s="304"/>
      <c r="I22" s="280"/>
      <c r="J22" s="304"/>
      <c r="K22" s="286"/>
      <c r="L22" s="11"/>
    </row>
    <row r="23" spans="1:19" ht="32.25" customHeight="1" thickBot="1">
      <c r="A23" s="419"/>
      <c r="B23" s="287">
        <v>7114.166666666667</v>
      </c>
      <c r="C23" s="288">
        <v>0.41457445052009984</v>
      </c>
      <c r="D23" s="287">
        <v>10046</v>
      </c>
      <c r="E23" s="288">
        <v>0.58542554947990011</v>
      </c>
      <c r="F23" s="287">
        <v>17160.166666666668</v>
      </c>
      <c r="G23" s="287">
        <f>AVERAGE(G16:G21)</f>
        <v>6063.833333333333</v>
      </c>
      <c r="H23" s="288">
        <f>G23/K23</f>
        <v>0.39128237116062975</v>
      </c>
      <c r="I23" s="287">
        <f>AVERAGE(I16:I21)</f>
        <v>9433.5</v>
      </c>
      <c r="J23" s="12">
        <f>I23/K23</f>
        <v>0.6087176288393702</v>
      </c>
      <c r="K23" s="307">
        <f>AVERAGE(K16:K21)</f>
        <v>15497.333333333334</v>
      </c>
      <c r="L23" s="14"/>
      <c r="O23" s="333"/>
      <c r="P23" s="333"/>
      <c r="Q23" s="333"/>
      <c r="R23" s="333"/>
      <c r="S23" s="333"/>
    </row>
    <row r="24" spans="1:19" ht="15.95" customHeight="1">
      <c r="A24" s="399" t="s">
        <v>48</v>
      </c>
      <c r="B24" s="280"/>
      <c r="C24" s="280"/>
      <c r="D24" s="280"/>
      <c r="E24" s="280"/>
      <c r="F24" s="280"/>
      <c r="G24" s="280"/>
      <c r="H24" s="303"/>
      <c r="I24" s="280"/>
      <c r="J24" s="280"/>
      <c r="K24" s="286"/>
      <c r="L24" s="11"/>
    </row>
    <row r="25" spans="1:19" ht="31.5" customHeight="1" thickBot="1">
      <c r="A25" s="400"/>
      <c r="B25" s="282">
        <v>8536</v>
      </c>
      <c r="C25" s="289">
        <v>0.4418143234243716</v>
      </c>
      <c r="D25" s="282">
        <v>10784.333333333334</v>
      </c>
      <c r="E25" s="289">
        <v>0.55818567657562845</v>
      </c>
      <c r="F25" s="282">
        <v>19320.333333333332</v>
      </c>
      <c r="G25" s="282">
        <f>AVERAGE(G15,G23)</f>
        <v>7482.1666666666661</v>
      </c>
      <c r="H25" s="288">
        <f>G25/K25</f>
        <v>0.4177394816058958</v>
      </c>
      <c r="I25" s="282">
        <f>AVERAGE(I15,I23)</f>
        <v>10428.916666666668</v>
      </c>
      <c r="J25" s="289">
        <f>I25/K25</f>
        <v>0.58226051839410431</v>
      </c>
      <c r="K25" s="290">
        <f>AVERAGE(K15,K23)</f>
        <v>17911.083333333332</v>
      </c>
      <c r="L25" s="14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1"/>
    </row>
    <row r="27" spans="1:19" ht="14.25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9">
      <c r="A28" s="1"/>
      <c r="B28" s="1"/>
      <c r="C28" s="1"/>
      <c r="D28" s="1"/>
      <c r="E28" s="1"/>
      <c r="F28" s="1"/>
      <c r="G28" s="1"/>
      <c r="H28" s="55"/>
      <c r="I28" s="56" t="s">
        <v>12</v>
      </c>
      <c r="J28" s="55"/>
      <c r="K28" s="1"/>
    </row>
    <row r="29" spans="1:19">
      <c r="A29" s="31">
        <f>'κατά επαρχία,  μήνα 2016,2017'!A29</f>
        <v>43153</v>
      </c>
      <c r="B29" s="1"/>
      <c r="C29" s="1"/>
      <c r="D29" s="1"/>
      <c r="E29" s="1"/>
      <c r="F29" s="1"/>
      <c r="G29" s="1"/>
      <c r="H29" s="416" t="s">
        <v>11</v>
      </c>
      <c r="I29" s="416"/>
      <c r="J29" s="416"/>
      <c r="K29" s="416"/>
    </row>
    <row r="30" spans="1:19">
      <c r="A30" s="4"/>
      <c r="B30" s="1"/>
      <c r="C30" s="1"/>
      <c r="D30" s="1"/>
      <c r="E30" s="1"/>
      <c r="F30" s="4"/>
      <c r="G30" s="4"/>
      <c r="H30" s="1"/>
      <c r="I30" s="24"/>
      <c r="J30" s="1"/>
      <c r="K30" s="1"/>
    </row>
    <row r="31" spans="1:19">
      <c r="A31" s="23"/>
      <c r="B31" s="1"/>
      <c r="C31" s="1"/>
      <c r="D31" s="1"/>
      <c r="E31" s="1"/>
      <c r="F31" s="1"/>
      <c r="G31" s="1"/>
      <c r="H31" s="24"/>
      <c r="I31" s="24"/>
      <c r="J31" s="4"/>
      <c r="K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">
    <mergeCell ref="H29:K29"/>
    <mergeCell ref="A2:K2"/>
    <mergeCell ref="A3:K3"/>
    <mergeCell ref="A14:A15"/>
    <mergeCell ref="A22:A23"/>
    <mergeCell ref="A24:A25"/>
    <mergeCell ref="A5:A7"/>
    <mergeCell ref="B5:G6"/>
    <mergeCell ref="H5:K6"/>
  </mergeCells>
  <phoneticPr fontId="0" type="noConversion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topLeftCell="A10" workbookViewId="0">
      <selection activeCell="Y20" sqref="Y20"/>
    </sheetView>
  </sheetViews>
  <sheetFormatPr defaultRowHeight="12.75"/>
  <cols>
    <col min="1" max="1" width="16.42578125" customWidth="1"/>
    <col min="2" max="2" width="5" bestFit="1" customWidth="1"/>
    <col min="3" max="9" width="6" bestFit="1" customWidth="1"/>
    <col min="10" max="10" width="6.7109375" bestFit="1" customWidth="1"/>
    <col min="11" max="20" width="6" bestFit="1" customWidth="1"/>
    <col min="21" max="23" width="6" customWidth="1"/>
    <col min="24" max="24" width="6" bestFit="1" customWidth="1"/>
    <col min="25" max="25" width="11.140625" bestFit="1" customWidth="1"/>
  </cols>
  <sheetData>
    <row r="1" spans="1:25" ht="12" customHeight="1"/>
    <row r="2" spans="1:25" ht="19.5" customHeight="1">
      <c r="A2" s="122" t="s">
        <v>101</v>
      </c>
    </row>
    <row r="3" spans="1:25" s="4" customFormat="1" ht="29.25" customHeight="1">
      <c r="A3" s="430" t="s">
        <v>130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</row>
    <row r="4" spans="1:25" ht="15.75" thickBot="1">
      <c r="A4" s="7"/>
      <c r="B4" s="7"/>
      <c r="C4" s="7"/>
      <c r="D4" s="7"/>
      <c r="E4" s="7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</row>
    <row r="5" spans="1:25" ht="25.5" customHeight="1">
      <c r="A5" s="190" t="s">
        <v>0</v>
      </c>
      <c r="B5" s="191">
        <v>1995</v>
      </c>
      <c r="C5" s="191">
        <v>1996</v>
      </c>
      <c r="D5" s="191">
        <v>1997</v>
      </c>
      <c r="E5" s="191">
        <v>1998</v>
      </c>
      <c r="F5" s="191">
        <v>1999</v>
      </c>
      <c r="G5" s="191">
        <v>2000</v>
      </c>
      <c r="H5" s="191">
        <v>2001</v>
      </c>
      <c r="I5" s="192">
        <v>2002</v>
      </c>
      <c r="J5" s="192">
        <v>2003</v>
      </c>
      <c r="K5" s="192">
        <v>2004</v>
      </c>
      <c r="L5" s="192">
        <v>2005</v>
      </c>
      <c r="M5" s="192">
        <v>2006</v>
      </c>
      <c r="N5" s="192">
        <v>2007</v>
      </c>
      <c r="O5" s="192">
        <v>2008</v>
      </c>
      <c r="P5" s="192">
        <v>2009</v>
      </c>
      <c r="Q5" s="192">
        <v>2010</v>
      </c>
      <c r="R5" s="192">
        <v>2011</v>
      </c>
      <c r="S5" s="192">
        <v>2012</v>
      </c>
      <c r="T5" s="192">
        <v>2013</v>
      </c>
      <c r="U5" s="192">
        <v>2014</v>
      </c>
      <c r="V5" s="192">
        <v>2015</v>
      </c>
      <c r="W5" s="192">
        <v>2016</v>
      </c>
      <c r="X5" s="193">
        <v>2017</v>
      </c>
      <c r="Y5" s="194" t="s">
        <v>129</v>
      </c>
    </row>
    <row r="6" spans="1:25" ht="18" customHeight="1">
      <c r="A6" s="15" t="s">
        <v>20</v>
      </c>
      <c r="B6" s="52">
        <v>9930</v>
      </c>
      <c r="C6" s="52">
        <v>11018</v>
      </c>
      <c r="D6" s="52">
        <v>13246</v>
      </c>
      <c r="E6" s="52">
        <v>11830</v>
      </c>
      <c r="F6" s="52">
        <v>14649</v>
      </c>
      <c r="G6" s="52">
        <v>14167</v>
      </c>
      <c r="H6" s="52">
        <f>15282-717</f>
        <v>14565</v>
      </c>
      <c r="I6" s="52">
        <v>14545</v>
      </c>
      <c r="J6" s="195">
        <v>15305</v>
      </c>
      <c r="K6" s="195">
        <v>15193</v>
      </c>
      <c r="L6" s="41">
        <v>18220</v>
      </c>
      <c r="M6" s="41">
        <v>18391</v>
      </c>
      <c r="N6" s="41">
        <v>18001</v>
      </c>
      <c r="O6" s="41">
        <v>16578</v>
      </c>
      <c r="P6" s="41">
        <v>18238</v>
      </c>
      <c r="Q6" s="41">
        <v>24817</v>
      </c>
      <c r="R6" s="41">
        <v>26664</v>
      </c>
      <c r="S6" s="41">
        <v>32281</v>
      </c>
      <c r="T6" s="41">
        <v>36466</v>
      </c>
      <c r="U6" s="41">
        <v>38333</v>
      </c>
      <c r="V6" s="41">
        <v>31236</v>
      </c>
      <c r="W6" s="41">
        <v>28120</v>
      </c>
      <c r="X6" s="41">
        <f>'κατά φύλο, μήνα 2016,2017'!K8</f>
        <v>27211</v>
      </c>
      <c r="Y6" s="196">
        <f t="shared" ref="Y6:Y12" si="0">X6/W6-1</f>
        <v>-3.232574679943101E-2</v>
      </c>
    </row>
    <row r="7" spans="1:25" ht="18" customHeight="1">
      <c r="A7" s="15" t="s">
        <v>21</v>
      </c>
      <c r="B7" s="52">
        <v>9756</v>
      </c>
      <c r="C7" s="52">
        <v>11053</v>
      </c>
      <c r="D7" s="52">
        <v>12655</v>
      </c>
      <c r="E7" s="52">
        <v>12110</v>
      </c>
      <c r="F7" s="52">
        <v>14815</v>
      </c>
      <c r="G7" s="52">
        <f>15542-1303</f>
        <v>14239</v>
      </c>
      <c r="H7" s="52">
        <v>14236</v>
      </c>
      <c r="I7" s="52">
        <v>14539</v>
      </c>
      <c r="J7" s="52">
        <v>15608</v>
      </c>
      <c r="K7" s="52">
        <v>15554</v>
      </c>
      <c r="L7" s="41">
        <v>17868</v>
      </c>
      <c r="M7" s="41">
        <v>17832</v>
      </c>
      <c r="N7" s="41">
        <v>17372</v>
      </c>
      <c r="O7" s="41">
        <v>15781</v>
      </c>
      <c r="P7" s="41">
        <v>18809</v>
      </c>
      <c r="Q7" s="41">
        <v>24511</v>
      </c>
      <c r="R7" s="41">
        <v>26506</v>
      </c>
      <c r="S7" s="41">
        <v>32291</v>
      </c>
      <c r="T7" s="85">
        <v>36211</v>
      </c>
      <c r="U7" s="85">
        <v>36901</v>
      </c>
      <c r="V7" s="85">
        <v>30900</v>
      </c>
      <c r="W7" s="85">
        <v>28003</v>
      </c>
      <c r="X7" s="41">
        <f>'κατά φύλο, μήνα 2016,2017'!K9</f>
        <v>26432</v>
      </c>
      <c r="Y7" s="196">
        <f t="shared" si="0"/>
        <v>-5.6101132021569078E-2</v>
      </c>
    </row>
    <row r="8" spans="1:25" ht="18" customHeight="1">
      <c r="A8" s="15" t="s">
        <v>22</v>
      </c>
      <c r="B8" s="52">
        <v>8180</v>
      </c>
      <c r="C8" s="52">
        <v>9737</v>
      </c>
      <c r="D8" s="52">
        <v>11429</v>
      </c>
      <c r="E8" s="52">
        <v>12131</v>
      </c>
      <c r="F8" s="52">
        <v>14042</v>
      </c>
      <c r="G8" s="52">
        <v>13613</v>
      </c>
      <c r="H8" s="52">
        <f>13932-661</f>
        <v>13271</v>
      </c>
      <c r="I8" s="52">
        <v>13023</v>
      </c>
      <c r="J8" s="52">
        <v>14691</v>
      </c>
      <c r="K8" s="52">
        <v>14131</v>
      </c>
      <c r="L8" s="41">
        <v>16725</v>
      </c>
      <c r="M8" s="41">
        <v>16958</v>
      </c>
      <c r="N8" s="41">
        <v>16224</v>
      </c>
      <c r="O8" s="41">
        <v>14766</v>
      </c>
      <c r="P8" s="41">
        <v>18544</v>
      </c>
      <c r="Q8" s="41">
        <v>24127</v>
      </c>
      <c r="R8" s="41">
        <v>25390</v>
      </c>
      <c r="S8" s="85">
        <v>31796</v>
      </c>
      <c r="T8" s="85">
        <v>35234</v>
      </c>
      <c r="U8" s="85">
        <v>35016</v>
      </c>
      <c r="V8" s="85">
        <v>30314</v>
      </c>
      <c r="W8" s="85">
        <v>25337</v>
      </c>
      <c r="X8" s="41">
        <f>'κατά φύλο, μήνα 2016,2017'!K10</f>
        <v>24440</v>
      </c>
      <c r="Y8" s="196">
        <f t="shared" si="0"/>
        <v>-3.5402770651616233E-2</v>
      </c>
    </row>
    <row r="9" spans="1:25" ht="18" customHeight="1">
      <c r="A9" s="15" t="s">
        <v>23</v>
      </c>
      <c r="B9" s="52">
        <v>4784</v>
      </c>
      <c r="C9" s="52">
        <v>6373</v>
      </c>
      <c r="D9" s="52">
        <v>7704</v>
      </c>
      <c r="E9" s="52">
        <v>7688</v>
      </c>
      <c r="F9" s="52">
        <v>8442</v>
      </c>
      <c r="G9" s="52">
        <f>9893-687</f>
        <v>9206</v>
      </c>
      <c r="H9" s="52">
        <f>9015-407</f>
        <v>8608</v>
      </c>
      <c r="I9" s="52">
        <v>7645</v>
      </c>
      <c r="J9" s="53" t="s">
        <v>19</v>
      </c>
      <c r="K9" s="52">
        <v>8906</v>
      </c>
      <c r="L9" s="41">
        <v>11089</v>
      </c>
      <c r="M9" s="41">
        <v>12239</v>
      </c>
      <c r="N9" s="41">
        <v>11566</v>
      </c>
      <c r="O9" s="41">
        <v>10318</v>
      </c>
      <c r="P9" s="41">
        <v>14862</v>
      </c>
      <c r="Q9" s="41">
        <v>18931</v>
      </c>
      <c r="R9" s="41">
        <v>21153</v>
      </c>
      <c r="S9" s="41">
        <v>27901</v>
      </c>
      <c r="T9" s="85">
        <v>31887</v>
      </c>
      <c r="U9" s="85">
        <v>28218</v>
      </c>
      <c r="V9" s="85">
        <v>22988</v>
      </c>
      <c r="W9" s="85">
        <v>18731</v>
      </c>
      <c r="X9" s="41">
        <f>'κατά φύλο, μήνα 2016,2017'!K11</f>
        <v>18087</v>
      </c>
      <c r="Y9" s="196">
        <f t="shared" si="0"/>
        <v>-3.4381506593347932E-2</v>
      </c>
    </row>
    <row r="10" spans="1:25" ht="18" customHeight="1">
      <c r="A10" s="15" t="s">
        <v>24</v>
      </c>
      <c r="B10" s="52">
        <v>4863</v>
      </c>
      <c r="C10" s="52">
        <v>6134</v>
      </c>
      <c r="D10" s="52">
        <v>7510</v>
      </c>
      <c r="E10" s="52">
        <v>7129</v>
      </c>
      <c r="F10" s="52">
        <v>7827</v>
      </c>
      <c r="G10" s="52">
        <v>8703</v>
      </c>
      <c r="H10" s="52">
        <f>8652-291</f>
        <v>8361</v>
      </c>
      <c r="I10" s="52">
        <v>6862</v>
      </c>
      <c r="J10" s="52">
        <v>8573</v>
      </c>
      <c r="K10" s="52">
        <v>7739</v>
      </c>
      <c r="L10" s="41">
        <v>10521</v>
      </c>
      <c r="M10" s="41">
        <v>10922</v>
      </c>
      <c r="N10" s="41">
        <v>9409</v>
      </c>
      <c r="O10" s="41">
        <v>8802</v>
      </c>
      <c r="P10" s="41">
        <v>13253</v>
      </c>
      <c r="Q10" s="41">
        <v>16873</v>
      </c>
      <c r="R10" s="41">
        <v>18627</v>
      </c>
      <c r="S10" s="41">
        <v>24512</v>
      </c>
      <c r="T10" s="85">
        <v>27981</v>
      </c>
      <c r="U10" s="85">
        <v>23335</v>
      </c>
      <c r="V10" s="85">
        <v>17637</v>
      </c>
      <c r="W10" s="85">
        <v>14730</v>
      </c>
      <c r="X10" s="41">
        <f>'κατά φύλο, μήνα 2016,2017'!K12</f>
        <v>13485</v>
      </c>
      <c r="Y10" s="196">
        <f t="shared" si="0"/>
        <v>-8.4521384928716858E-2</v>
      </c>
    </row>
    <row r="11" spans="1:25" ht="18" customHeight="1" thickBot="1">
      <c r="A11" s="79" t="s">
        <v>25</v>
      </c>
      <c r="B11" s="116">
        <v>5189</v>
      </c>
      <c r="C11" s="116">
        <v>6841</v>
      </c>
      <c r="D11" s="116">
        <v>7867</v>
      </c>
      <c r="E11" s="116">
        <v>7712</v>
      </c>
      <c r="F11" s="116">
        <v>8201</v>
      </c>
      <c r="G11" s="116">
        <v>8720</v>
      </c>
      <c r="H11" s="116">
        <f>8952-233</f>
        <v>8719</v>
      </c>
      <c r="I11" s="116">
        <v>7303</v>
      </c>
      <c r="J11" s="116">
        <v>8243</v>
      </c>
      <c r="K11" s="116">
        <v>8029</v>
      </c>
      <c r="L11" s="117">
        <v>10762</v>
      </c>
      <c r="M11" s="117">
        <v>10769</v>
      </c>
      <c r="N11" s="117">
        <v>9820</v>
      </c>
      <c r="O11" s="117">
        <v>9044</v>
      </c>
      <c r="P11" s="117">
        <v>14394</v>
      </c>
      <c r="Q11" s="117">
        <v>17593</v>
      </c>
      <c r="R11" s="117">
        <v>19276</v>
      </c>
      <c r="S11" s="118">
        <v>24090</v>
      </c>
      <c r="T11" s="118">
        <v>28290</v>
      </c>
      <c r="U11" s="118">
        <v>22958</v>
      </c>
      <c r="V11" s="118">
        <v>17842</v>
      </c>
      <c r="W11" s="118">
        <v>13962</v>
      </c>
      <c r="X11" s="41">
        <f>'κατά φύλο, μήνα 2016,2017'!K13</f>
        <v>12294</v>
      </c>
      <c r="Y11" s="196">
        <f t="shared" si="0"/>
        <v>-0.11946712505371726</v>
      </c>
    </row>
    <row r="12" spans="1:25" ht="38.25" customHeight="1" thickBot="1">
      <c r="A12" s="197" t="s">
        <v>45</v>
      </c>
      <c r="B12" s="120">
        <f t="shared" ref="B12:L12" si="1">AVERAGE(B6:B11)</f>
        <v>7117</v>
      </c>
      <c r="C12" s="120">
        <f t="shared" si="1"/>
        <v>8526</v>
      </c>
      <c r="D12" s="120">
        <f t="shared" si="1"/>
        <v>10068.5</v>
      </c>
      <c r="E12" s="120">
        <f t="shared" si="1"/>
        <v>9766.6666666666661</v>
      </c>
      <c r="F12" s="120">
        <f t="shared" si="1"/>
        <v>11329.333333333334</v>
      </c>
      <c r="G12" s="120">
        <f t="shared" si="1"/>
        <v>11441.333333333334</v>
      </c>
      <c r="H12" s="120">
        <f t="shared" si="1"/>
        <v>11293.333333333334</v>
      </c>
      <c r="I12" s="120">
        <f t="shared" si="1"/>
        <v>10652.833333333334</v>
      </c>
      <c r="J12" s="120">
        <f t="shared" si="1"/>
        <v>12484</v>
      </c>
      <c r="K12" s="120">
        <f t="shared" si="1"/>
        <v>11592</v>
      </c>
      <c r="L12" s="90">
        <f t="shared" si="1"/>
        <v>14197.5</v>
      </c>
      <c r="M12" s="90">
        <f t="shared" ref="M12:U12" si="2">AVERAGE(M6:M11)</f>
        <v>14518.5</v>
      </c>
      <c r="N12" s="90">
        <f t="shared" si="2"/>
        <v>13732</v>
      </c>
      <c r="O12" s="90">
        <f t="shared" si="2"/>
        <v>12548.166666666666</v>
      </c>
      <c r="P12" s="90">
        <f t="shared" si="2"/>
        <v>16350</v>
      </c>
      <c r="Q12" s="90">
        <f t="shared" si="2"/>
        <v>21142</v>
      </c>
      <c r="R12" s="90">
        <f t="shared" si="2"/>
        <v>22936</v>
      </c>
      <c r="S12" s="90">
        <f t="shared" si="2"/>
        <v>28811.833333333332</v>
      </c>
      <c r="T12" s="90">
        <f t="shared" si="2"/>
        <v>32678.166666666668</v>
      </c>
      <c r="U12" s="90">
        <f t="shared" si="2"/>
        <v>30793.5</v>
      </c>
      <c r="V12" s="90">
        <v>25152.833333333332</v>
      </c>
      <c r="W12" s="90">
        <v>21480.5</v>
      </c>
      <c r="X12" s="90">
        <f>AVERAGE(X6:X11)</f>
        <v>20324.833333333332</v>
      </c>
      <c r="Y12" s="198">
        <f t="shared" si="0"/>
        <v>-5.3800733999053496E-2</v>
      </c>
    </row>
    <row r="13" spans="1:25" ht="18" customHeight="1">
      <c r="A13" s="78" t="s">
        <v>26</v>
      </c>
      <c r="B13" s="114">
        <v>6680</v>
      </c>
      <c r="C13" s="114">
        <v>7962</v>
      </c>
      <c r="D13" s="114">
        <v>8980</v>
      </c>
      <c r="E13" s="114">
        <v>8604</v>
      </c>
      <c r="F13" s="114">
        <v>9632</v>
      </c>
      <c r="G13" s="114">
        <f>10233-352</f>
        <v>9881</v>
      </c>
      <c r="H13" s="114">
        <f>296+9999-310</f>
        <v>9985</v>
      </c>
      <c r="I13" s="114">
        <v>8758</v>
      </c>
      <c r="J13" s="114">
        <v>9772</v>
      </c>
      <c r="K13" s="114">
        <v>9509</v>
      </c>
      <c r="L13" s="115">
        <v>11705</v>
      </c>
      <c r="M13" s="115">
        <v>11835</v>
      </c>
      <c r="N13" s="115">
        <v>10821</v>
      </c>
      <c r="O13" s="115">
        <v>10313</v>
      </c>
      <c r="P13" s="115">
        <v>15817</v>
      </c>
      <c r="Q13" s="115">
        <v>18443</v>
      </c>
      <c r="R13" s="115">
        <v>20024</v>
      </c>
      <c r="S13" s="115">
        <v>25399</v>
      </c>
      <c r="T13" s="119">
        <v>29528</v>
      </c>
      <c r="U13" s="119">
        <v>22590</v>
      </c>
      <c r="V13" s="119">
        <v>18253</v>
      </c>
      <c r="W13" s="119">
        <v>15082</v>
      </c>
      <c r="X13" s="115">
        <f>'κατά επαρχία,  μήνα 2016,2017'!M15</f>
        <v>13960</v>
      </c>
      <c r="Y13" s="357">
        <f t="shared" ref="Y13:Y20" si="3">(X13/W13)-1</f>
        <v>-7.439331653626835E-2</v>
      </c>
    </row>
    <row r="14" spans="1:25" ht="18" customHeight="1">
      <c r="A14" s="15" t="s">
        <v>7</v>
      </c>
      <c r="B14" s="52">
        <v>6621</v>
      </c>
      <c r="C14" s="52">
        <v>7849</v>
      </c>
      <c r="D14" s="52">
        <v>8752</v>
      </c>
      <c r="E14" s="52">
        <v>8486</v>
      </c>
      <c r="F14" s="52">
        <v>9969</v>
      </c>
      <c r="G14" s="52">
        <v>10059</v>
      </c>
      <c r="H14" s="52">
        <f>10342-300</f>
        <v>10042</v>
      </c>
      <c r="I14" s="52">
        <v>8633</v>
      </c>
      <c r="J14" s="52">
        <v>9178</v>
      </c>
      <c r="K14" s="52">
        <v>9132</v>
      </c>
      <c r="L14" s="41">
        <v>11668</v>
      </c>
      <c r="M14" s="41">
        <v>11752</v>
      </c>
      <c r="N14" s="41">
        <v>10761</v>
      </c>
      <c r="O14" s="41">
        <v>10335</v>
      </c>
      <c r="P14" s="41">
        <v>15904</v>
      </c>
      <c r="Q14" s="41">
        <v>17925</v>
      </c>
      <c r="R14" s="41">
        <v>20501</v>
      </c>
      <c r="S14" s="41">
        <v>24866</v>
      </c>
      <c r="T14" s="85">
        <v>30345</v>
      </c>
      <c r="U14" s="85">
        <v>21432</v>
      </c>
      <c r="V14" s="119">
        <v>17759</v>
      </c>
      <c r="W14" s="119">
        <v>15419</v>
      </c>
      <c r="X14" s="115">
        <f>'κατά επαρχία,  μήνα 2016,2017'!M16</f>
        <v>13935</v>
      </c>
      <c r="Y14" s="357">
        <f t="shared" si="3"/>
        <v>-9.6244892664894E-2</v>
      </c>
    </row>
    <row r="15" spans="1:25" ht="18" customHeight="1">
      <c r="A15" s="15" t="s">
        <v>27</v>
      </c>
      <c r="B15" s="52">
        <v>6233</v>
      </c>
      <c r="C15" s="52">
        <v>7440</v>
      </c>
      <c r="D15" s="52">
        <v>8025</v>
      </c>
      <c r="E15" s="52">
        <v>8409</v>
      </c>
      <c r="F15" s="52">
        <v>9418</v>
      </c>
      <c r="G15" s="52">
        <v>9135</v>
      </c>
      <c r="H15" s="52">
        <f>9554-295</f>
        <v>9259</v>
      </c>
      <c r="I15" s="52">
        <v>7951</v>
      </c>
      <c r="J15" s="52">
        <v>8299</v>
      </c>
      <c r="K15" s="52">
        <v>8609</v>
      </c>
      <c r="L15" s="41">
        <v>11135</v>
      </c>
      <c r="M15" s="41">
        <v>11508</v>
      </c>
      <c r="N15" s="41">
        <v>10617</v>
      </c>
      <c r="O15" s="41">
        <v>9697</v>
      </c>
      <c r="P15" s="41">
        <v>15896</v>
      </c>
      <c r="Q15" s="41">
        <v>17103</v>
      </c>
      <c r="R15" s="41">
        <v>20171</v>
      </c>
      <c r="S15" s="85">
        <v>24913</v>
      </c>
      <c r="T15" s="85">
        <v>29550</v>
      </c>
      <c r="U15" s="85">
        <v>21500</v>
      </c>
      <c r="V15" s="119">
        <v>16132</v>
      </c>
      <c r="W15" s="119">
        <v>13770</v>
      </c>
      <c r="X15" s="115">
        <f>'κατά επαρχία,  μήνα 2016,2017'!M17</f>
        <v>12040</v>
      </c>
      <c r="Y15" s="357">
        <f t="shared" si="3"/>
        <v>-0.12563543936092958</v>
      </c>
    </row>
    <row r="16" spans="1:25" ht="18" customHeight="1">
      <c r="A16" s="15" t="s">
        <v>28</v>
      </c>
      <c r="B16" s="52">
        <v>6119</v>
      </c>
      <c r="C16" s="52">
        <v>7280</v>
      </c>
      <c r="D16" s="52">
        <v>7475</v>
      </c>
      <c r="E16" s="52">
        <v>7732</v>
      </c>
      <c r="F16" s="52">
        <v>7380</v>
      </c>
      <c r="G16" s="52">
        <f>8844-329</f>
        <v>8515</v>
      </c>
      <c r="H16" s="52">
        <f>9483-298</f>
        <v>9185</v>
      </c>
      <c r="I16" s="52">
        <v>7450</v>
      </c>
      <c r="J16" s="52">
        <v>7894</v>
      </c>
      <c r="K16" s="52">
        <v>8105</v>
      </c>
      <c r="L16" s="41">
        <v>9847</v>
      </c>
      <c r="M16" s="41">
        <v>9396</v>
      </c>
      <c r="N16" s="41">
        <v>8345</v>
      </c>
      <c r="O16" s="41">
        <v>8194</v>
      </c>
      <c r="P16" s="41">
        <v>14225</v>
      </c>
      <c r="Q16" s="41">
        <v>15052</v>
      </c>
      <c r="R16" s="41">
        <v>18540</v>
      </c>
      <c r="S16" s="41">
        <v>22957</v>
      </c>
      <c r="T16" s="85">
        <v>27093</v>
      </c>
      <c r="U16" s="85">
        <v>17937</v>
      </c>
      <c r="V16" s="119">
        <v>14132</v>
      </c>
      <c r="W16" s="119">
        <v>12341</v>
      </c>
      <c r="X16" s="115">
        <f>'κατά επαρχία,  μήνα 2016,2017'!M18</f>
        <v>10316</v>
      </c>
      <c r="Y16" s="357">
        <f t="shared" si="3"/>
        <v>-0.16408718904464792</v>
      </c>
    </row>
    <row r="17" spans="1:25" ht="18" customHeight="1">
      <c r="A17" s="15" t="s">
        <v>29</v>
      </c>
      <c r="B17" s="52">
        <v>6416</v>
      </c>
      <c r="C17" s="52">
        <v>8908</v>
      </c>
      <c r="D17" s="52">
        <v>8589</v>
      </c>
      <c r="E17" s="52">
        <v>9186</v>
      </c>
      <c r="F17" s="52">
        <f>10259-1134</f>
        <v>9125</v>
      </c>
      <c r="G17" s="52">
        <v>9905</v>
      </c>
      <c r="H17" s="52">
        <v>12316</v>
      </c>
      <c r="I17" s="52">
        <v>10392</v>
      </c>
      <c r="J17" s="52">
        <v>10560</v>
      </c>
      <c r="K17" s="52">
        <v>10575</v>
      </c>
      <c r="L17" s="41">
        <v>13614</v>
      </c>
      <c r="M17" s="41">
        <v>12990</v>
      </c>
      <c r="N17" s="41">
        <v>12052</v>
      </c>
      <c r="O17" s="41">
        <v>11853</v>
      </c>
      <c r="P17" s="41">
        <v>19333</v>
      </c>
      <c r="Q17" s="41">
        <v>20238</v>
      </c>
      <c r="R17" s="41">
        <v>24943</v>
      </c>
      <c r="S17" s="41">
        <v>29393</v>
      </c>
      <c r="T17" s="85">
        <v>32643</v>
      </c>
      <c r="U17" s="85">
        <v>25814</v>
      </c>
      <c r="V17" s="119">
        <v>23214</v>
      </c>
      <c r="W17" s="119">
        <v>20992</v>
      </c>
      <c r="X17" s="115">
        <f>'κατά επαρχία,  μήνα 2016,2017'!M19</f>
        <v>19067</v>
      </c>
      <c r="Y17" s="357">
        <f t="shared" si="3"/>
        <v>-9.1701600609756073E-2</v>
      </c>
    </row>
    <row r="18" spans="1:25" ht="18" customHeight="1" thickBot="1">
      <c r="A18" s="79" t="s">
        <v>30</v>
      </c>
      <c r="B18" s="116">
        <v>8226</v>
      </c>
      <c r="C18" s="116">
        <v>11214</v>
      </c>
      <c r="D18" s="116">
        <v>9915</v>
      </c>
      <c r="E18" s="116">
        <v>12477</v>
      </c>
      <c r="F18" s="116">
        <f>12981-1262</f>
        <v>11719</v>
      </c>
      <c r="G18" s="116">
        <v>13133</v>
      </c>
      <c r="H18" s="116">
        <f>16077-775</f>
        <v>15302</v>
      </c>
      <c r="I18" s="116">
        <v>13658</v>
      </c>
      <c r="J18" s="116">
        <v>13824</v>
      </c>
      <c r="K18" s="116">
        <v>14111</v>
      </c>
      <c r="L18" s="117">
        <v>16294</v>
      </c>
      <c r="M18" s="117">
        <v>15903</v>
      </c>
      <c r="N18" s="117">
        <v>15648</v>
      </c>
      <c r="O18" s="117">
        <v>15669</v>
      </c>
      <c r="P18" s="117">
        <v>22938</v>
      </c>
      <c r="Q18" s="117">
        <v>24154</v>
      </c>
      <c r="R18" s="118">
        <v>29034</v>
      </c>
      <c r="S18" s="117">
        <v>33374</v>
      </c>
      <c r="T18" s="118">
        <v>36716</v>
      </c>
      <c r="U18" s="118">
        <v>29637</v>
      </c>
      <c r="V18" s="306">
        <v>26943</v>
      </c>
      <c r="W18" s="306">
        <v>25357</v>
      </c>
      <c r="X18" s="115">
        <f>'κατά επαρχία,  μήνα 2016,2017'!M20</f>
        <v>23666</v>
      </c>
      <c r="Y18" s="357">
        <f t="shared" si="3"/>
        <v>-6.6687699649012111E-2</v>
      </c>
    </row>
    <row r="19" spans="1:25" ht="39.75" customHeight="1" thickBot="1">
      <c r="A19" s="197" t="s">
        <v>43</v>
      </c>
      <c r="B19" s="120">
        <f t="shared" ref="B19:L19" si="4">AVERAGE(B13:B18)</f>
        <v>6715.833333333333</v>
      </c>
      <c r="C19" s="120">
        <f t="shared" si="4"/>
        <v>8442.1666666666661</v>
      </c>
      <c r="D19" s="120">
        <f t="shared" si="4"/>
        <v>8622.6666666666661</v>
      </c>
      <c r="E19" s="120">
        <f t="shared" si="4"/>
        <v>9149</v>
      </c>
      <c r="F19" s="120">
        <f t="shared" si="4"/>
        <v>9540.5</v>
      </c>
      <c r="G19" s="120">
        <f t="shared" si="4"/>
        <v>10104.666666666666</v>
      </c>
      <c r="H19" s="120">
        <f t="shared" si="4"/>
        <v>11014.833333333334</v>
      </c>
      <c r="I19" s="120">
        <f t="shared" si="4"/>
        <v>9473.6666666666661</v>
      </c>
      <c r="J19" s="120">
        <f t="shared" si="4"/>
        <v>9921.1666666666661</v>
      </c>
      <c r="K19" s="120">
        <f t="shared" si="4"/>
        <v>10006.833333333334</v>
      </c>
      <c r="L19" s="90">
        <f t="shared" si="4"/>
        <v>12377.166666666666</v>
      </c>
      <c r="M19" s="90">
        <f t="shared" ref="M19:S19" si="5">AVERAGE(M13:M18)</f>
        <v>12230.666666666666</v>
      </c>
      <c r="N19" s="90">
        <f t="shared" si="5"/>
        <v>11374</v>
      </c>
      <c r="O19" s="90">
        <f t="shared" si="5"/>
        <v>11010.166666666666</v>
      </c>
      <c r="P19" s="90">
        <f t="shared" si="5"/>
        <v>17352.166666666668</v>
      </c>
      <c r="Q19" s="90">
        <f t="shared" si="5"/>
        <v>18819.166666666668</v>
      </c>
      <c r="R19" s="90">
        <f t="shared" si="5"/>
        <v>22202.166666666668</v>
      </c>
      <c r="S19" s="90">
        <f t="shared" si="5"/>
        <v>26817</v>
      </c>
      <c r="T19" s="199">
        <f>AVERAGE(T13:T18)</f>
        <v>30979.166666666668</v>
      </c>
      <c r="U19" s="199">
        <f>AVERAGE(U13:U18)</f>
        <v>23151.666666666668</v>
      </c>
      <c r="V19" s="199">
        <v>19405.5</v>
      </c>
      <c r="W19" s="199">
        <v>17160.166666666668</v>
      </c>
      <c r="X19" s="199">
        <f>AVERAGE(X13:X18)</f>
        <v>15497.333333333334</v>
      </c>
      <c r="Y19" s="334">
        <f t="shared" si="3"/>
        <v>-9.6900768252056624E-2</v>
      </c>
    </row>
    <row r="20" spans="1:25" ht="27.75" customHeight="1" thickBot="1">
      <c r="A20" s="197" t="s">
        <v>46</v>
      </c>
      <c r="B20" s="57">
        <f t="shared" ref="B20:L20" si="6">AVERAGE(B6:B11,B13:B18)</f>
        <v>6916.416666666667</v>
      </c>
      <c r="C20" s="57">
        <f t="shared" si="6"/>
        <v>8484.0833333333339</v>
      </c>
      <c r="D20" s="57">
        <f t="shared" si="6"/>
        <v>9345.5833333333339</v>
      </c>
      <c r="E20" s="57">
        <f t="shared" si="6"/>
        <v>9457.8333333333339</v>
      </c>
      <c r="F20" s="57">
        <f t="shared" si="6"/>
        <v>10434.916666666666</v>
      </c>
      <c r="G20" s="57">
        <f t="shared" si="6"/>
        <v>10773</v>
      </c>
      <c r="H20" s="57">
        <f t="shared" si="6"/>
        <v>11154.083333333334</v>
      </c>
      <c r="I20" s="57">
        <f t="shared" si="6"/>
        <v>10063.25</v>
      </c>
      <c r="J20" s="57">
        <f t="shared" si="6"/>
        <v>11086.09090909091</v>
      </c>
      <c r="K20" s="57">
        <f t="shared" si="6"/>
        <v>10799.416666666666</v>
      </c>
      <c r="L20" s="57">
        <f t="shared" si="6"/>
        <v>13287.333333333334</v>
      </c>
      <c r="M20" s="54">
        <f t="shared" ref="M20:S20" si="7">AVERAGE(M6:M11,M13:M18)</f>
        <v>13374.583333333334</v>
      </c>
      <c r="N20" s="54">
        <f t="shared" si="7"/>
        <v>12553</v>
      </c>
      <c r="O20" s="54">
        <f t="shared" si="7"/>
        <v>11779.166666666666</v>
      </c>
      <c r="P20" s="54">
        <f t="shared" si="7"/>
        <v>16851.083333333332</v>
      </c>
      <c r="Q20" s="54">
        <f t="shared" si="7"/>
        <v>19980.583333333332</v>
      </c>
      <c r="R20" s="54">
        <f t="shared" si="7"/>
        <v>22569.083333333332</v>
      </c>
      <c r="S20" s="54">
        <f t="shared" si="7"/>
        <v>27814.416666666668</v>
      </c>
      <c r="T20" s="113">
        <f>AVERAGE(T6:T11,T13:T18)</f>
        <v>31828.666666666668</v>
      </c>
      <c r="U20" s="113">
        <f>AVERAGE(U6:U11,U13:U18)</f>
        <v>26972.583333333332</v>
      </c>
      <c r="V20" s="113">
        <v>22279.166666666668</v>
      </c>
      <c r="W20" s="113">
        <v>19320.333333333332</v>
      </c>
      <c r="X20" s="113">
        <f>AVERAGE(X12,X19)</f>
        <v>17911.083333333332</v>
      </c>
      <c r="Y20" s="334">
        <f t="shared" si="3"/>
        <v>-7.2941288107520541E-2</v>
      </c>
    </row>
    <row r="21" spans="1:25">
      <c r="A21" s="3"/>
    </row>
    <row r="23" spans="1:25">
      <c r="A23" s="38"/>
      <c r="Q23" s="432" t="s">
        <v>12</v>
      </c>
      <c r="R23" s="432"/>
      <c r="S23" s="432"/>
      <c r="T23" s="432"/>
      <c r="U23" s="432"/>
      <c r="V23" s="432"/>
      <c r="W23" s="432"/>
      <c r="X23" s="432"/>
      <c r="Y23" s="432"/>
    </row>
    <row r="24" spans="1:25" ht="14.25">
      <c r="A24" s="21"/>
      <c r="Q24" s="432" t="s">
        <v>11</v>
      </c>
      <c r="R24" s="432"/>
      <c r="S24" s="432"/>
      <c r="T24" s="432"/>
      <c r="U24" s="432"/>
      <c r="V24" s="432"/>
      <c r="W24" s="432"/>
      <c r="X24" s="432"/>
      <c r="Y24" s="432"/>
    </row>
    <row r="25" spans="1:25">
      <c r="A25" s="31">
        <f>'κατά φύλο, μήνα 2016,2017'!A29</f>
        <v>43153</v>
      </c>
      <c r="O25" s="30"/>
      <c r="P25" s="35"/>
      <c r="Q25" s="35"/>
      <c r="R25" s="35"/>
      <c r="S25" s="35"/>
    </row>
    <row r="26" spans="1:25">
      <c r="A26" s="38"/>
      <c r="O26" s="35"/>
      <c r="P26" s="35"/>
      <c r="Q26" s="35"/>
      <c r="R26" s="35"/>
      <c r="S26" s="33"/>
    </row>
  </sheetData>
  <mergeCells count="4">
    <mergeCell ref="F4:Q4"/>
    <mergeCell ref="A3:Y3"/>
    <mergeCell ref="Q23:Y23"/>
    <mergeCell ref="Q24:Y24"/>
  </mergeCells>
  <phoneticPr fontId="0" type="noConversion"/>
  <pageMargins left="0" right="0" top="0.98425196850393704" bottom="0.78740157480314965" header="0.51181102362204722" footer="0.51181102362204722"/>
  <pageSetup paperSize="9"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29"/>
  <sheetViews>
    <sheetView tabSelected="1" workbookViewId="0">
      <selection activeCell="AG12" sqref="AG12"/>
    </sheetView>
  </sheetViews>
  <sheetFormatPr defaultRowHeight="12.75"/>
  <cols>
    <col min="1" max="1" width="14.5703125" customWidth="1"/>
    <col min="2" max="2" width="13.7109375" hidden="1" customWidth="1"/>
    <col min="3" max="3" width="10.7109375" hidden="1" customWidth="1"/>
    <col min="4" max="4" width="11.42578125" hidden="1" customWidth="1"/>
    <col min="5" max="5" width="14.42578125" hidden="1" customWidth="1"/>
    <col min="6" max="6" width="10.7109375" hidden="1" customWidth="1"/>
    <col min="7" max="7" width="12" hidden="1" customWidth="1"/>
    <col min="8" max="8" width="10.28515625" hidden="1" customWidth="1"/>
    <col min="9" max="9" width="10.7109375" hidden="1" customWidth="1"/>
    <col min="10" max="10" width="12.85546875" hidden="1" customWidth="1"/>
    <col min="11" max="11" width="10.7109375" hidden="1" customWidth="1"/>
    <col min="12" max="12" width="10.140625" hidden="1" customWidth="1"/>
    <col min="13" max="13" width="12.140625" hidden="1" customWidth="1"/>
    <col min="14" max="14" width="10" hidden="1" customWidth="1"/>
    <col min="15" max="15" width="10.7109375" hidden="1" customWidth="1"/>
    <col min="16" max="16" width="12.7109375" hidden="1" customWidth="1"/>
    <col min="17" max="17" width="9.42578125" hidden="1" customWidth="1"/>
    <col min="18" max="18" width="11" hidden="1" customWidth="1"/>
    <col min="19" max="19" width="12.42578125" customWidth="1"/>
    <col min="21" max="21" width="9.5703125" customWidth="1"/>
    <col min="22" max="22" width="13" customWidth="1"/>
    <col min="23" max="23" width="9.42578125" customWidth="1"/>
    <col min="24" max="24" width="11" customWidth="1"/>
    <col min="27" max="27" width="10.28515625" bestFit="1" customWidth="1"/>
    <col min="28" max="28" width="13.7109375" bestFit="1" customWidth="1"/>
  </cols>
  <sheetData>
    <row r="1" spans="1:33">
      <c r="A1" s="122" t="s">
        <v>102</v>
      </c>
    </row>
    <row r="2" spans="1:33" ht="27.75" customHeight="1">
      <c r="A2" s="433" t="s">
        <v>150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4"/>
      <c r="X2" s="434"/>
      <c r="Y2" s="434"/>
      <c r="Z2" s="434"/>
      <c r="AA2" s="434"/>
      <c r="AB2" s="434"/>
      <c r="AC2" s="434"/>
      <c r="AD2" s="434"/>
    </row>
    <row r="3" spans="1:33" ht="13.5" thickBot="1">
      <c r="A3" s="435"/>
      <c r="B3" s="435"/>
      <c r="C3" s="4"/>
      <c r="D3" s="4"/>
      <c r="E3" s="4"/>
      <c r="F3" s="4"/>
      <c r="G3" s="4"/>
    </row>
    <row r="4" spans="1:33" ht="19.5" customHeight="1">
      <c r="A4" s="443" t="s">
        <v>0</v>
      </c>
      <c r="B4" s="438">
        <v>2010</v>
      </c>
      <c r="C4" s="438"/>
      <c r="D4" s="438"/>
      <c r="E4" s="438"/>
      <c r="F4" s="438"/>
      <c r="G4" s="438">
        <v>2011</v>
      </c>
      <c r="H4" s="438"/>
      <c r="I4" s="438"/>
      <c r="J4" s="438"/>
      <c r="K4" s="438"/>
      <c r="L4" s="436" t="s">
        <v>60</v>
      </c>
      <c r="M4" s="438">
        <v>2012</v>
      </c>
      <c r="N4" s="438"/>
      <c r="O4" s="438"/>
      <c r="P4" s="438"/>
      <c r="Q4" s="438"/>
      <c r="R4" s="436" t="s">
        <v>94</v>
      </c>
      <c r="S4" s="438">
        <v>2016</v>
      </c>
      <c r="T4" s="438"/>
      <c r="U4" s="438"/>
      <c r="V4" s="438"/>
      <c r="W4" s="438"/>
      <c r="X4" s="436" t="s">
        <v>122</v>
      </c>
      <c r="Y4" s="440">
        <v>2017</v>
      </c>
      <c r="Z4" s="440"/>
      <c r="AA4" s="440"/>
      <c r="AB4" s="440"/>
      <c r="AC4" s="440"/>
      <c r="AD4" s="441" t="s">
        <v>127</v>
      </c>
    </row>
    <row r="5" spans="1:33" ht="37.5" customHeight="1">
      <c r="A5" s="444"/>
      <c r="B5" s="200" t="s">
        <v>36</v>
      </c>
      <c r="C5" s="201" t="s">
        <v>37</v>
      </c>
      <c r="D5" s="201" t="s">
        <v>40</v>
      </c>
      <c r="E5" s="202" t="s">
        <v>38</v>
      </c>
      <c r="F5" s="201" t="s">
        <v>39</v>
      </c>
      <c r="G5" s="200" t="s">
        <v>36</v>
      </c>
      <c r="H5" s="201" t="s">
        <v>37</v>
      </c>
      <c r="I5" s="201" t="s">
        <v>40</v>
      </c>
      <c r="J5" s="202" t="s">
        <v>38</v>
      </c>
      <c r="K5" s="201" t="s">
        <v>39</v>
      </c>
      <c r="L5" s="437"/>
      <c r="M5" s="200" t="s">
        <v>36</v>
      </c>
      <c r="N5" s="201" t="s">
        <v>37</v>
      </c>
      <c r="O5" s="201" t="s">
        <v>40</v>
      </c>
      <c r="P5" s="202" t="s">
        <v>38</v>
      </c>
      <c r="Q5" s="201" t="s">
        <v>39</v>
      </c>
      <c r="R5" s="437"/>
      <c r="S5" s="200" t="s">
        <v>36</v>
      </c>
      <c r="T5" s="201" t="s">
        <v>37</v>
      </c>
      <c r="U5" s="201" t="s">
        <v>40</v>
      </c>
      <c r="V5" s="202" t="s">
        <v>38</v>
      </c>
      <c r="W5" s="201" t="s">
        <v>39</v>
      </c>
      <c r="X5" s="437"/>
      <c r="Y5" s="200" t="s">
        <v>36</v>
      </c>
      <c r="Z5" s="201" t="s">
        <v>37</v>
      </c>
      <c r="AA5" s="201" t="s">
        <v>40</v>
      </c>
      <c r="AB5" s="202" t="s">
        <v>38</v>
      </c>
      <c r="AC5" s="201" t="s">
        <v>39</v>
      </c>
      <c r="AD5" s="442"/>
    </row>
    <row r="6" spans="1:33" ht="18" customHeight="1">
      <c r="A6" s="203" t="s">
        <v>20</v>
      </c>
      <c r="B6" s="41">
        <f>44+14709+37</f>
        <v>14790</v>
      </c>
      <c r="C6" s="41">
        <v>3443</v>
      </c>
      <c r="D6" s="41">
        <v>1510</v>
      </c>
      <c r="E6" s="41">
        <v>277</v>
      </c>
      <c r="F6" s="41">
        <f t="shared" ref="F6:F11" si="0">B6+C6+D6+E6</f>
        <v>20020</v>
      </c>
      <c r="G6" s="41">
        <v>14225</v>
      </c>
      <c r="H6" s="41">
        <v>4452</v>
      </c>
      <c r="I6" s="41">
        <v>1451</v>
      </c>
      <c r="J6" s="41">
        <v>223</v>
      </c>
      <c r="K6" s="41">
        <f>G6+H6+I6+J6</f>
        <v>20351</v>
      </c>
      <c r="L6" s="204">
        <f>(K6/F6)-1</f>
        <v>1.6533466533466434E-2</v>
      </c>
      <c r="M6" s="41">
        <v>17446</v>
      </c>
      <c r="N6" s="41">
        <v>6202</v>
      </c>
      <c r="O6" s="41">
        <v>669</v>
      </c>
      <c r="P6" s="41">
        <v>254</v>
      </c>
      <c r="Q6" s="41">
        <f t="shared" ref="Q6:Q18" si="1">M6+N6+O6+P6</f>
        <v>24571</v>
      </c>
      <c r="R6" s="204">
        <f t="shared" ref="R6:R20" si="2">(Q6/K6)-1</f>
        <v>0.20736081765023839</v>
      </c>
      <c r="S6" s="41">
        <v>15288</v>
      </c>
      <c r="T6" s="41">
        <v>5539</v>
      </c>
      <c r="U6" s="41">
        <v>862</v>
      </c>
      <c r="V6" s="41">
        <v>22</v>
      </c>
      <c r="W6" s="41">
        <v>21711</v>
      </c>
      <c r="X6" s="204">
        <v>-4.992998424645545E-2</v>
      </c>
      <c r="Y6" s="505">
        <v>15003</v>
      </c>
      <c r="Z6" s="505">
        <v>5692</v>
      </c>
      <c r="AA6" s="505">
        <v>883</v>
      </c>
      <c r="AB6" s="505">
        <v>28</v>
      </c>
      <c r="AC6" s="505">
        <f t="shared" ref="AC6:AC11" si="3">SUM(Y6:AB6)</f>
        <v>21606</v>
      </c>
      <c r="AD6" s="506">
        <f t="shared" ref="AD6:AD12" si="4">(AC6/W6)-1</f>
        <v>-4.8362581180046993E-3</v>
      </c>
    </row>
    <row r="7" spans="1:33" ht="18" customHeight="1">
      <c r="A7" s="203" t="s">
        <v>21</v>
      </c>
      <c r="B7" s="41">
        <f>45+13246+30</f>
        <v>13321</v>
      </c>
      <c r="C7" s="41">
        <v>3534</v>
      </c>
      <c r="D7" s="41">
        <v>1540</v>
      </c>
      <c r="E7" s="41">
        <v>258</v>
      </c>
      <c r="F7" s="41">
        <f t="shared" si="0"/>
        <v>18653</v>
      </c>
      <c r="G7" s="41">
        <v>13628</v>
      </c>
      <c r="H7" s="41">
        <v>4510</v>
      </c>
      <c r="I7" s="41">
        <v>1475</v>
      </c>
      <c r="J7" s="41">
        <v>222</v>
      </c>
      <c r="K7" s="41">
        <f t="shared" ref="K7:K18" si="5">G7+H7+I7+J7</f>
        <v>19835</v>
      </c>
      <c r="L7" s="204">
        <f t="shared" ref="L7:L20" si="6">(K7/F7)-1</f>
        <v>6.3367822870315837E-2</v>
      </c>
      <c r="M7" s="41">
        <v>16730</v>
      </c>
      <c r="N7" s="41">
        <v>6355</v>
      </c>
      <c r="O7" s="41">
        <v>682</v>
      </c>
      <c r="P7" s="41">
        <v>232</v>
      </c>
      <c r="Q7" s="41">
        <f t="shared" si="1"/>
        <v>23999</v>
      </c>
      <c r="R7" s="204">
        <f t="shared" si="2"/>
        <v>0.20993193849256375</v>
      </c>
      <c r="S7" s="41">
        <v>14606</v>
      </c>
      <c r="T7" s="41">
        <v>5510</v>
      </c>
      <c r="U7" s="41">
        <v>849</v>
      </c>
      <c r="V7" s="41">
        <v>21</v>
      </c>
      <c r="W7" s="41">
        <v>20986</v>
      </c>
      <c r="X7" s="204">
        <v>-5.1051322631697982E-2</v>
      </c>
      <c r="Y7" s="505">
        <v>14176</v>
      </c>
      <c r="Z7" s="505">
        <v>5558</v>
      </c>
      <c r="AA7" s="505">
        <v>862</v>
      </c>
      <c r="AB7" s="505">
        <v>30</v>
      </c>
      <c r="AC7" s="505">
        <f t="shared" si="3"/>
        <v>20626</v>
      </c>
      <c r="AD7" s="506">
        <f t="shared" si="4"/>
        <v>-1.7154293338416116E-2</v>
      </c>
    </row>
    <row r="8" spans="1:33" ht="18" customHeight="1">
      <c r="A8" s="203" t="s">
        <v>22</v>
      </c>
      <c r="B8" s="41">
        <f>43+12995+32</f>
        <v>13070</v>
      </c>
      <c r="C8" s="41">
        <v>3352</v>
      </c>
      <c r="D8" s="41">
        <v>1436</v>
      </c>
      <c r="E8" s="41">
        <v>260</v>
      </c>
      <c r="F8" s="41">
        <f t="shared" si="0"/>
        <v>18118</v>
      </c>
      <c r="G8" s="41">
        <v>12896</v>
      </c>
      <c r="H8" s="41">
        <v>4268</v>
      </c>
      <c r="I8" s="41">
        <v>1420</v>
      </c>
      <c r="J8" s="41">
        <v>211</v>
      </c>
      <c r="K8" s="41">
        <f t="shared" si="5"/>
        <v>18795</v>
      </c>
      <c r="L8" s="204">
        <f t="shared" si="6"/>
        <v>3.7366155204768825E-2</v>
      </c>
      <c r="M8" s="41">
        <v>16306</v>
      </c>
      <c r="N8" s="41">
        <v>6145</v>
      </c>
      <c r="O8" s="41">
        <v>666</v>
      </c>
      <c r="P8" s="41">
        <v>248</v>
      </c>
      <c r="Q8" s="41">
        <f t="shared" si="1"/>
        <v>23365</v>
      </c>
      <c r="R8" s="204">
        <f t="shared" si="2"/>
        <v>0.24314977387603087</v>
      </c>
      <c r="S8" s="41">
        <v>13187</v>
      </c>
      <c r="T8" s="41">
        <v>4719</v>
      </c>
      <c r="U8" s="41">
        <v>775</v>
      </c>
      <c r="V8" s="41">
        <v>20</v>
      </c>
      <c r="W8" s="41">
        <v>18701</v>
      </c>
      <c r="X8" s="204">
        <v>-0.13030739896758592</v>
      </c>
      <c r="Y8" s="505">
        <v>12974</v>
      </c>
      <c r="Z8" s="505">
        <v>4816</v>
      </c>
      <c r="AA8" s="505">
        <v>772</v>
      </c>
      <c r="AB8" s="505">
        <v>21</v>
      </c>
      <c r="AC8" s="505">
        <f t="shared" si="3"/>
        <v>18583</v>
      </c>
      <c r="AD8" s="506">
        <f t="shared" si="4"/>
        <v>-6.3098230041174208E-3</v>
      </c>
    </row>
    <row r="9" spans="1:33" ht="18" customHeight="1">
      <c r="A9" s="203" t="s">
        <v>23</v>
      </c>
      <c r="B9" s="41">
        <f>31+9163+29</f>
        <v>9223</v>
      </c>
      <c r="C9" s="41">
        <v>2511</v>
      </c>
      <c r="D9" s="41">
        <v>1109</v>
      </c>
      <c r="E9" s="41">
        <v>242</v>
      </c>
      <c r="F9" s="41">
        <f t="shared" si="0"/>
        <v>13085</v>
      </c>
      <c r="G9" s="41">
        <v>10096</v>
      </c>
      <c r="H9" s="41">
        <v>3293</v>
      </c>
      <c r="I9" s="41">
        <v>1107</v>
      </c>
      <c r="J9" s="41">
        <v>197</v>
      </c>
      <c r="K9" s="41">
        <f t="shared" si="5"/>
        <v>14693</v>
      </c>
      <c r="L9" s="204">
        <f t="shared" si="6"/>
        <v>0.12288880397401614</v>
      </c>
      <c r="M9" s="41">
        <v>14506</v>
      </c>
      <c r="N9" s="41">
        <v>5269</v>
      </c>
      <c r="O9" s="41">
        <v>564</v>
      </c>
      <c r="P9" s="41">
        <v>235</v>
      </c>
      <c r="Q9" s="41">
        <f t="shared" si="1"/>
        <v>20574</v>
      </c>
      <c r="R9" s="204">
        <f t="shared" si="2"/>
        <v>0.40025862655686373</v>
      </c>
      <c r="S9" s="41">
        <v>8930</v>
      </c>
      <c r="T9" s="41">
        <v>3049</v>
      </c>
      <c r="U9" s="41">
        <v>549</v>
      </c>
      <c r="V9" s="41">
        <v>13</v>
      </c>
      <c r="W9" s="41">
        <v>12541</v>
      </c>
      <c r="X9" s="204">
        <v>-0.14413430696785645</v>
      </c>
      <c r="Y9" s="505">
        <v>8915</v>
      </c>
      <c r="Z9" s="505">
        <v>3020</v>
      </c>
      <c r="AA9" s="505">
        <v>555</v>
      </c>
      <c r="AB9" s="505">
        <v>14</v>
      </c>
      <c r="AC9" s="505">
        <f t="shared" si="3"/>
        <v>12504</v>
      </c>
      <c r="AD9" s="506">
        <f t="shared" si="4"/>
        <v>-2.9503229407543685E-3</v>
      </c>
    </row>
    <row r="10" spans="1:33" ht="18" customHeight="1">
      <c r="A10" s="203" t="s">
        <v>24</v>
      </c>
      <c r="B10" s="41">
        <f>29+7523+32</f>
        <v>7584</v>
      </c>
      <c r="C10" s="41">
        <v>2003</v>
      </c>
      <c r="D10" s="41">
        <v>942</v>
      </c>
      <c r="E10" s="41">
        <v>211</v>
      </c>
      <c r="F10" s="41">
        <f t="shared" si="0"/>
        <v>10740</v>
      </c>
      <c r="G10" s="41">
        <v>8441</v>
      </c>
      <c r="H10" s="41">
        <v>2526</v>
      </c>
      <c r="I10" s="41">
        <v>953</v>
      </c>
      <c r="J10" s="41">
        <v>189</v>
      </c>
      <c r="K10" s="41">
        <f t="shared" si="5"/>
        <v>12109</v>
      </c>
      <c r="L10" s="204">
        <f t="shared" si="6"/>
        <v>0.1274674115456238</v>
      </c>
      <c r="M10" s="41">
        <v>11333</v>
      </c>
      <c r="N10" s="41">
        <v>3837</v>
      </c>
      <c r="O10" s="41">
        <v>441</v>
      </c>
      <c r="P10" s="41">
        <v>230</v>
      </c>
      <c r="Q10" s="41">
        <f t="shared" si="1"/>
        <v>15841</v>
      </c>
      <c r="R10" s="204">
        <f t="shared" si="2"/>
        <v>0.30820051201585597</v>
      </c>
      <c r="S10" s="41">
        <v>6202</v>
      </c>
      <c r="T10" s="41">
        <v>1850</v>
      </c>
      <c r="U10" s="41">
        <v>401</v>
      </c>
      <c r="V10" s="41">
        <v>15</v>
      </c>
      <c r="W10" s="41">
        <v>8468</v>
      </c>
      <c r="X10" s="204">
        <v>-0.1474023358840113</v>
      </c>
      <c r="Y10" s="505">
        <v>5824</v>
      </c>
      <c r="Z10" s="505">
        <v>1717</v>
      </c>
      <c r="AA10" s="505">
        <v>368</v>
      </c>
      <c r="AB10" s="505">
        <v>7</v>
      </c>
      <c r="AC10" s="505">
        <f>SUM(Y10:AB10)</f>
        <v>7916</v>
      </c>
      <c r="AD10" s="506">
        <f t="shared" si="4"/>
        <v>-6.5186584789796886E-2</v>
      </c>
    </row>
    <row r="11" spans="1:33" ht="18" customHeight="1" thickBot="1">
      <c r="A11" s="208" t="s">
        <v>25</v>
      </c>
      <c r="B11" s="117">
        <f>26+8150+33</f>
        <v>8209</v>
      </c>
      <c r="C11" s="117">
        <v>1838</v>
      </c>
      <c r="D11" s="117">
        <v>869</v>
      </c>
      <c r="E11" s="117">
        <v>188</v>
      </c>
      <c r="F11" s="117">
        <f t="shared" si="0"/>
        <v>11104</v>
      </c>
      <c r="G11" s="117">
        <v>9388</v>
      </c>
      <c r="H11" s="117">
        <v>2158</v>
      </c>
      <c r="I11" s="117">
        <v>982</v>
      </c>
      <c r="J11" s="117">
        <v>191</v>
      </c>
      <c r="K11" s="117">
        <f t="shared" si="5"/>
        <v>12719</v>
      </c>
      <c r="L11" s="209">
        <f t="shared" si="6"/>
        <v>0.14544308357348701</v>
      </c>
      <c r="M11" s="117">
        <v>11649</v>
      </c>
      <c r="N11" s="117">
        <v>3218</v>
      </c>
      <c r="O11" s="117">
        <v>403</v>
      </c>
      <c r="P11" s="117">
        <v>218</v>
      </c>
      <c r="Q11" s="117">
        <f t="shared" si="1"/>
        <v>15488</v>
      </c>
      <c r="R11" s="209">
        <f t="shared" si="2"/>
        <v>0.21770579448069816</v>
      </c>
      <c r="S11" s="117">
        <v>6438</v>
      </c>
      <c r="T11" s="117">
        <v>1208</v>
      </c>
      <c r="U11" s="117">
        <v>309</v>
      </c>
      <c r="V11" s="117">
        <v>13</v>
      </c>
      <c r="W11" s="117">
        <v>7968</v>
      </c>
      <c r="X11" s="209">
        <v>-0.2009626955475331</v>
      </c>
      <c r="Y11" s="507">
        <v>5777</v>
      </c>
      <c r="Z11" s="507">
        <v>1097</v>
      </c>
      <c r="AA11" s="507">
        <v>278</v>
      </c>
      <c r="AB11" s="507">
        <v>4</v>
      </c>
      <c r="AC11" s="507">
        <f t="shared" si="3"/>
        <v>7156</v>
      </c>
      <c r="AD11" s="508">
        <f t="shared" si="4"/>
        <v>-0.1019076305220884</v>
      </c>
    </row>
    <row r="12" spans="1:33" ht="39" customHeight="1" thickBot="1">
      <c r="A12" s="212" t="s">
        <v>42</v>
      </c>
      <c r="B12" s="90">
        <f t="shared" ref="B12:J12" si="7">AVERAGE(B6:B11)</f>
        <v>11032.833333333334</v>
      </c>
      <c r="C12" s="90">
        <f t="shared" si="7"/>
        <v>2780.1666666666665</v>
      </c>
      <c r="D12" s="90">
        <f t="shared" si="7"/>
        <v>1234.3333333333333</v>
      </c>
      <c r="E12" s="90">
        <f t="shared" si="7"/>
        <v>239.33333333333334</v>
      </c>
      <c r="F12" s="90">
        <f t="shared" si="7"/>
        <v>15286.666666666666</v>
      </c>
      <c r="G12" s="90">
        <f t="shared" si="7"/>
        <v>11445.666666666666</v>
      </c>
      <c r="H12" s="90">
        <f t="shared" si="7"/>
        <v>3534.5</v>
      </c>
      <c r="I12" s="90">
        <f t="shared" si="7"/>
        <v>1231.3333333333333</v>
      </c>
      <c r="J12" s="90">
        <f t="shared" si="7"/>
        <v>205.5</v>
      </c>
      <c r="K12" s="90">
        <f>AVERAGE(K6:K11)</f>
        <v>16417</v>
      </c>
      <c r="L12" s="213">
        <f t="shared" si="6"/>
        <v>7.3942433493240367E-2</v>
      </c>
      <c r="M12" s="90">
        <f>AVERAGE(M6:M11)</f>
        <v>14661.666666666666</v>
      </c>
      <c r="N12" s="90">
        <f>AVERAGE(N6:N11)</f>
        <v>5171</v>
      </c>
      <c r="O12" s="90">
        <f>AVERAGE(O6:O11)</f>
        <v>570.83333333333337</v>
      </c>
      <c r="P12" s="90">
        <f>AVERAGE(P6:P11)</f>
        <v>236.16666666666666</v>
      </c>
      <c r="Q12" s="90">
        <f>AVERAGE(Q6:Q11)</f>
        <v>20639.666666666668</v>
      </c>
      <c r="R12" s="213">
        <f t="shared" si="2"/>
        <v>0.25721305151164442</v>
      </c>
      <c r="S12" s="90">
        <v>10775.166666666666</v>
      </c>
      <c r="T12" s="90">
        <v>3645.8333333333335</v>
      </c>
      <c r="U12" s="90">
        <v>624.16666666666663</v>
      </c>
      <c r="V12" s="90">
        <v>17.333333333333332</v>
      </c>
      <c r="W12" s="90">
        <v>15062.5</v>
      </c>
      <c r="X12" s="213">
        <v>-0.10543716036307116</v>
      </c>
      <c r="Y12" s="314">
        <f>AVERAGE(Y6:Y11)</f>
        <v>10444.833333333334</v>
      </c>
      <c r="Z12" s="314">
        <f t="shared" ref="Z12:AC12" si="8">AVERAGE(Z6:Z11)</f>
        <v>3650</v>
      </c>
      <c r="AA12" s="314">
        <f t="shared" si="8"/>
        <v>619.66666666666663</v>
      </c>
      <c r="AB12" s="314">
        <f t="shared" si="8"/>
        <v>17.333333333333332</v>
      </c>
      <c r="AC12" s="314">
        <f t="shared" si="8"/>
        <v>14731.833333333334</v>
      </c>
      <c r="AD12" s="509">
        <f t="shared" si="4"/>
        <v>-2.195297372060856E-2</v>
      </c>
    </row>
    <row r="13" spans="1:33" ht="18" customHeight="1">
      <c r="A13" s="210" t="s">
        <v>26</v>
      </c>
      <c r="B13" s="115">
        <f>25+9671+40</f>
        <v>9736</v>
      </c>
      <c r="C13" s="115">
        <v>1885</v>
      </c>
      <c r="D13" s="115">
        <v>934</v>
      </c>
      <c r="E13" s="115">
        <v>194</v>
      </c>
      <c r="F13" s="115">
        <f t="shared" ref="F13:F18" si="9">B13+C13+D13+E13</f>
        <v>12749</v>
      </c>
      <c r="G13" s="115">
        <v>11219</v>
      </c>
      <c r="H13" s="115">
        <v>2316</v>
      </c>
      <c r="I13" s="115">
        <v>1018</v>
      </c>
      <c r="J13" s="115">
        <v>206</v>
      </c>
      <c r="K13" s="115">
        <f t="shared" si="5"/>
        <v>14759</v>
      </c>
      <c r="L13" s="211">
        <f t="shared" si="6"/>
        <v>0.15765942426857005</v>
      </c>
      <c r="M13" s="115">
        <v>13594</v>
      </c>
      <c r="N13" s="115">
        <v>3323</v>
      </c>
      <c r="O13" s="115">
        <v>424</v>
      </c>
      <c r="P13" s="115">
        <v>218</v>
      </c>
      <c r="Q13" s="115">
        <f t="shared" si="1"/>
        <v>17559</v>
      </c>
      <c r="R13" s="211">
        <f t="shared" si="2"/>
        <v>0.18971475032183749</v>
      </c>
      <c r="S13" s="115">
        <v>8640</v>
      </c>
      <c r="T13" s="115">
        <v>1351</v>
      </c>
      <c r="U13" s="115">
        <v>330</v>
      </c>
      <c r="V13" s="115">
        <v>19</v>
      </c>
      <c r="W13" s="115">
        <v>10340</v>
      </c>
      <c r="X13" s="211">
        <v>-0.13269585639993287</v>
      </c>
      <c r="Y13" s="510">
        <v>8104</v>
      </c>
      <c r="Z13" s="510">
        <v>1227</v>
      </c>
      <c r="AA13" s="510">
        <v>313</v>
      </c>
      <c r="AB13" s="510">
        <v>11</v>
      </c>
      <c r="AC13" s="510">
        <f t="shared" ref="AC13:AC18" si="10">SUM(Y13:AB13)</f>
        <v>9655</v>
      </c>
      <c r="AD13" s="511">
        <f t="shared" ref="AD13:AD20" si="11">(AC13/W13)-1</f>
        <v>-6.6247582205029021E-2</v>
      </c>
    </row>
    <row r="14" spans="1:33" ht="18" customHeight="1">
      <c r="A14" s="203" t="s">
        <v>7</v>
      </c>
      <c r="B14" s="41">
        <f>25+9478+31</f>
        <v>9534</v>
      </c>
      <c r="C14" s="41">
        <v>1732</v>
      </c>
      <c r="D14" s="41">
        <v>878</v>
      </c>
      <c r="E14" s="41">
        <v>176</v>
      </c>
      <c r="F14" s="41">
        <f t="shared" si="9"/>
        <v>12320</v>
      </c>
      <c r="G14" s="41">
        <v>11140</v>
      </c>
      <c r="H14" s="41">
        <v>2110</v>
      </c>
      <c r="I14" s="41">
        <v>942</v>
      </c>
      <c r="J14" s="41">
        <v>164</v>
      </c>
      <c r="K14" s="41">
        <f t="shared" si="5"/>
        <v>14356</v>
      </c>
      <c r="L14" s="204">
        <f t="shared" si="6"/>
        <v>0.16525974025974022</v>
      </c>
      <c r="M14" s="41">
        <v>13045</v>
      </c>
      <c r="N14" s="41">
        <v>2981</v>
      </c>
      <c r="O14" s="41">
        <v>375</v>
      </c>
      <c r="P14" s="41">
        <v>205</v>
      </c>
      <c r="Q14" s="41">
        <f t="shared" si="1"/>
        <v>16606</v>
      </c>
      <c r="R14" s="204">
        <f t="shared" si="2"/>
        <v>0.15672889384229594</v>
      </c>
      <c r="S14" s="41">
        <v>9030</v>
      </c>
      <c r="T14" s="41">
        <v>1352</v>
      </c>
      <c r="U14" s="41">
        <v>309</v>
      </c>
      <c r="V14" s="41">
        <v>18</v>
      </c>
      <c r="W14" s="41">
        <v>10709</v>
      </c>
      <c r="X14" s="204">
        <v>-6.8539619031051546E-2</v>
      </c>
      <c r="Y14" s="505">
        <v>8276</v>
      </c>
      <c r="Z14" s="505">
        <v>1219</v>
      </c>
      <c r="AA14" s="505">
        <v>289</v>
      </c>
      <c r="AB14" s="505">
        <v>15</v>
      </c>
      <c r="AC14" s="505">
        <f t="shared" si="10"/>
        <v>9799</v>
      </c>
      <c r="AD14" s="506">
        <f t="shared" si="11"/>
        <v>-8.4975254458866334E-2</v>
      </c>
    </row>
    <row r="15" spans="1:33" ht="18" customHeight="1">
      <c r="A15" s="203" t="s">
        <v>27</v>
      </c>
      <c r="B15" s="41">
        <f>31+8436+40</f>
        <v>8507</v>
      </c>
      <c r="C15" s="41">
        <v>1741</v>
      </c>
      <c r="D15" s="41">
        <v>889</v>
      </c>
      <c r="E15" s="41">
        <v>186</v>
      </c>
      <c r="F15" s="41">
        <f t="shared" si="9"/>
        <v>11323</v>
      </c>
      <c r="G15" s="41">
        <v>10381</v>
      </c>
      <c r="H15" s="41">
        <v>2228</v>
      </c>
      <c r="I15" s="41">
        <v>985</v>
      </c>
      <c r="J15" s="41">
        <v>186</v>
      </c>
      <c r="K15" s="41">
        <f t="shared" si="5"/>
        <v>13780</v>
      </c>
      <c r="L15" s="204">
        <f t="shared" si="6"/>
        <v>0.21699196326061987</v>
      </c>
      <c r="M15" s="41">
        <v>12640</v>
      </c>
      <c r="N15" s="41">
        <v>3155</v>
      </c>
      <c r="O15" s="41">
        <v>389</v>
      </c>
      <c r="P15" s="41">
        <v>210</v>
      </c>
      <c r="Q15" s="41">
        <f t="shared" si="1"/>
        <v>16394</v>
      </c>
      <c r="R15" s="204">
        <f t="shared" si="2"/>
        <v>0.18969521044992743</v>
      </c>
      <c r="S15" s="41">
        <v>7609</v>
      </c>
      <c r="T15" s="41">
        <v>1364</v>
      </c>
      <c r="U15" s="41">
        <v>292</v>
      </c>
      <c r="V15" s="41">
        <v>19</v>
      </c>
      <c r="W15" s="41">
        <v>9284</v>
      </c>
      <c r="X15" s="204">
        <v>-7.1507150715071521E-2</v>
      </c>
      <c r="Y15" s="505">
        <v>6639</v>
      </c>
      <c r="Z15" s="505">
        <v>1176</v>
      </c>
      <c r="AA15" s="505">
        <v>274</v>
      </c>
      <c r="AB15" s="505">
        <v>14</v>
      </c>
      <c r="AC15" s="505">
        <f t="shared" si="10"/>
        <v>8103</v>
      </c>
      <c r="AD15" s="506">
        <f t="shared" si="11"/>
        <v>-0.12720809995691518</v>
      </c>
    </row>
    <row r="16" spans="1:33" ht="18" customHeight="1">
      <c r="A16" s="203" t="s">
        <v>28</v>
      </c>
      <c r="B16" s="41">
        <f>33+6863+39</f>
        <v>6935</v>
      </c>
      <c r="C16" s="41">
        <v>1819</v>
      </c>
      <c r="D16" s="41">
        <v>856</v>
      </c>
      <c r="E16" s="41">
        <v>192</v>
      </c>
      <c r="F16" s="41">
        <f t="shared" si="9"/>
        <v>9802</v>
      </c>
      <c r="G16" s="41">
        <v>8721</v>
      </c>
      <c r="H16" s="41">
        <v>2360</v>
      </c>
      <c r="I16" s="41">
        <v>993</v>
      </c>
      <c r="J16" s="41">
        <v>185</v>
      </c>
      <c r="K16" s="41">
        <f t="shared" si="5"/>
        <v>12259</v>
      </c>
      <c r="L16" s="204">
        <f t="shared" si="6"/>
        <v>0.25066312997347473</v>
      </c>
      <c r="M16" s="41">
        <v>10491</v>
      </c>
      <c r="N16" s="41">
        <v>3291</v>
      </c>
      <c r="O16" s="41">
        <v>392</v>
      </c>
      <c r="P16" s="41">
        <v>194</v>
      </c>
      <c r="Q16" s="41">
        <f t="shared" si="1"/>
        <v>14368</v>
      </c>
      <c r="R16" s="204">
        <f t="shared" si="2"/>
        <v>0.172036870870381</v>
      </c>
      <c r="S16" s="41">
        <v>6377</v>
      </c>
      <c r="T16" s="41">
        <v>1451</v>
      </c>
      <c r="U16" s="41">
        <v>311</v>
      </c>
      <c r="V16" s="41">
        <v>22</v>
      </c>
      <c r="W16" s="41">
        <v>8161</v>
      </c>
      <c r="X16" s="204">
        <v>-1.7693789118921499E-2</v>
      </c>
      <c r="Y16" s="505">
        <v>5121</v>
      </c>
      <c r="Z16" s="505">
        <v>1201</v>
      </c>
      <c r="AA16" s="505">
        <v>276</v>
      </c>
      <c r="AB16" s="505">
        <v>12</v>
      </c>
      <c r="AC16" s="505">
        <f t="shared" si="10"/>
        <v>6610</v>
      </c>
      <c r="AD16" s="506">
        <f t="shared" si="11"/>
        <v>-0.19005023894130624</v>
      </c>
      <c r="AG16" t="s">
        <v>153</v>
      </c>
    </row>
    <row r="17" spans="1:34" ht="18" customHeight="1">
      <c r="A17" s="203" t="s">
        <v>29</v>
      </c>
      <c r="B17" s="41">
        <f>42+9563+40</f>
        <v>9645</v>
      </c>
      <c r="C17" s="41">
        <v>2936</v>
      </c>
      <c r="D17" s="41">
        <v>1220</v>
      </c>
      <c r="E17" s="41">
        <v>195</v>
      </c>
      <c r="F17" s="41">
        <f t="shared" si="9"/>
        <v>13996</v>
      </c>
      <c r="G17" s="41">
        <v>11869</v>
      </c>
      <c r="H17" s="41">
        <v>4096</v>
      </c>
      <c r="I17" s="41">
        <v>1348</v>
      </c>
      <c r="J17" s="41">
        <v>210</v>
      </c>
      <c r="K17" s="41">
        <f t="shared" si="5"/>
        <v>17523</v>
      </c>
      <c r="L17" s="204">
        <f t="shared" si="6"/>
        <v>0.25200057159188338</v>
      </c>
      <c r="M17" s="41">
        <v>13799</v>
      </c>
      <c r="N17" s="41">
        <v>5261</v>
      </c>
      <c r="O17" s="41">
        <v>501</v>
      </c>
      <c r="P17" s="41">
        <v>200</v>
      </c>
      <c r="Q17" s="41">
        <f t="shared" si="1"/>
        <v>19761</v>
      </c>
      <c r="R17" s="204">
        <f t="shared" si="2"/>
        <v>0.12771785653141587</v>
      </c>
      <c r="S17" s="41">
        <v>10712</v>
      </c>
      <c r="T17" s="41">
        <v>3940</v>
      </c>
      <c r="U17" s="41">
        <v>658</v>
      </c>
      <c r="V17" s="41">
        <v>24</v>
      </c>
      <c r="W17" s="41">
        <v>15334</v>
      </c>
      <c r="X17" s="204">
        <v>-5.9379217273954121E-2</v>
      </c>
      <c r="Y17" s="505">
        <v>9361</v>
      </c>
      <c r="Z17" s="505">
        <v>3987</v>
      </c>
      <c r="AA17" s="505">
        <v>687</v>
      </c>
      <c r="AB17" s="505">
        <v>18</v>
      </c>
      <c r="AC17" s="505">
        <f t="shared" si="10"/>
        <v>14053</v>
      </c>
      <c r="AD17" s="506">
        <f t="shared" si="11"/>
        <v>-8.3539846093648062E-2</v>
      </c>
    </row>
    <row r="18" spans="1:34" ht="18" customHeight="1" thickBot="1">
      <c r="A18" s="208" t="s">
        <v>30</v>
      </c>
      <c r="B18" s="117">
        <f>51+12662+37</f>
        <v>12750</v>
      </c>
      <c r="C18" s="117">
        <v>3727</v>
      </c>
      <c r="D18" s="117">
        <v>1441</v>
      </c>
      <c r="E18" s="117">
        <v>197</v>
      </c>
      <c r="F18" s="117">
        <f t="shared" si="9"/>
        <v>18115</v>
      </c>
      <c r="G18" s="117">
        <v>15176</v>
      </c>
      <c r="H18" s="117">
        <v>5046</v>
      </c>
      <c r="I18" s="117">
        <v>1588</v>
      </c>
      <c r="J18" s="117">
        <v>241</v>
      </c>
      <c r="K18" s="117">
        <f t="shared" si="5"/>
        <v>22051</v>
      </c>
      <c r="L18" s="209">
        <f t="shared" si="6"/>
        <v>0.21727849848192116</v>
      </c>
      <c r="M18" s="117">
        <v>16963</v>
      </c>
      <c r="N18" s="117">
        <v>6374</v>
      </c>
      <c r="O18" s="117">
        <v>637</v>
      </c>
      <c r="P18" s="117">
        <v>221</v>
      </c>
      <c r="Q18" s="117">
        <f t="shared" si="1"/>
        <v>24195</v>
      </c>
      <c r="R18" s="209">
        <f t="shared" si="2"/>
        <v>9.7229150605414816E-2</v>
      </c>
      <c r="S18" s="117">
        <v>14065</v>
      </c>
      <c r="T18" s="117">
        <v>5322</v>
      </c>
      <c r="U18" s="117">
        <v>815</v>
      </c>
      <c r="V18" s="117">
        <v>28</v>
      </c>
      <c r="W18" s="117">
        <v>20230</v>
      </c>
      <c r="X18" s="209">
        <v>-1.5236333544273006E-2</v>
      </c>
      <c r="Y18" s="507">
        <v>12744</v>
      </c>
      <c r="Z18" s="507">
        <v>5488</v>
      </c>
      <c r="AA18" s="507">
        <v>875</v>
      </c>
      <c r="AB18" s="507">
        <v>26</v>
      </c>
      <c r="AC18" s="507">
        <f t="shared" si="10"/>
        <v>19133</v>
      </c>
      <c r="AD18" s="508">
        <f t="shared" si="11"/>
        <v>-5.4226396440929303E-2</v>
      </c>
    </row>
    <row r="19" spans="1:34" ht="48.75" thickBot="1">
      <c r="A19" s="212" t="s">
        <v>43</v>
      </c>
      <c r="B19" s="90">
        <f t="shared" ref="B19:K19" si="12">AVERAGE(B13:B18)</f>
        <v>9517.8333333333339</v>
      </c>
      <c r="C19" s="90">
        <f t="shared" si="12"/>
        <v>2306.6666666666665</v>
      </c>
      <c r="D19" s="90">
        <f t="shared" si="12"/>
        <v>1036.3333333333333</v>
      </c>
      <c r="E19" s="90">
        <f t="shared" si="12"/>
        <v>190</v>
      </c>
      <c r="F19" s="90">
        <f t="shared" si="12"/>
        <v>13050.833333333334</v>
      </c>
      <c r="G19" s="90">
        <f t="shared" si="12"/>
        <v>11417.666666666666</v>
      </c>
      <c r="H19" s="90">
        <f t="shared" si="12"/>
        <v>3026</v>
      </c>
      <c r="I19" s="90">
        <f t="shared" si="12"/>
        <v>1145.6666666666667</v>
      </c>
      <c r="J19" s="90">
        <f t="shared" si="12"/>
        <v>198.66666666666666</v>
      </c>
      <c r="K19" s="90">
        <f t="shared" si="12"/>
        <v>15788</v>
      </c>
      <c r="L19" s="214">
        <f t="shared" si="6"/>
        <v>0.2097311793627481</v>
      </c>
      <c r="M19" s="90">
        <f>AVERAGE(M13:M18)</f>
        <v>13422</v>
      </c>
      <c r="N19" s="90">
        <f>AVERAGE(N13:N18)</f>
        <v>4064.1666666666665</v>
      </c>
      <c r="O19" s="90">
        <f>AVERAGE(O13:O18)</f>
        <v>453</v>
      </c>
      <c r="P19" s="90">
        <f>AVERAGE(P13:P18)</f>
        <v>208</v>
      </c>
      <c r="Q19" s="90">
        <f>AVERAGE(Q13:Q18)</f>
        <v>18147.166666666668</v>
      </c>
      <c r="R19" s="214">
        <f t="shared" si="2"/>
        <v>0.14942783548686767</v>
      </c>
      <c r="S19" s="90">
        <v>9405.5</v>
      </c>
      <c r="T19" s="90">
        <v>2463.3333333333335</v>
      </c>
      <c r="U19" s="90">
        <v>452.5</v>
      </c>
      <c r="V19" s="90">
        <v>21.666666666666668</v>
      </c>
      <c r="W19" s="90">
        <v>12343</v>
      </c>
      <c r="X19" s="215">
        <v>-5.7438495119064292E-2</v>
      </c>
      <c r="Y19" s="314">
        <f>AVERAGE(Y13:Y18)</f>
        <v>8374.1666666666661</v>
      </c>
      <c r="Z19" s="314">
        <f t="shared" ref="Z19:AC19" si="13">AVERAGE(Z13:Z18)</f>
        <v>2383</v>
      </c>
      <c r="AA19" s="314">
        <f t="shared" si="13"/>
        <v>452.33333333333331</v>
      </c>
      <c r="AB19" s="314">
        <f t="shared" si="13"/>
        <v>16</v>
      </c>
      <c r="AC19" s="314">
        <f t="shared" si="13"/>
        <v>11225.5</v>
      </c>
      <c r="AD19" s="509">
        <f t="shared" si="11"/>
        <v>-9.0537146560803694E-2</v>
      </c>
    </row>
    <row r="20" spans="1:34" ht="48.75" thickBot="1">
      <c r="A20" s="212" t="s">
        <v>44</v>
      </c>
      <c r="B20" s="216">
        <f t="shared" ref="B20:K20" si="14">AVERAGE(B6:B11,B13:B18)</f>
        <v>10275.333333333334</v>
      </c>
      <c r="C20" s="216">
        <f t="shared" si="14"/>
        <v>2543.4166666666665</v>
      </c>
      <c r="D20" s="216">
        <f t="shared" si="14"/>
        <v>1135.3333333333333</v>
      </c>
      <c r="E20" s="216">
        <f t="shared" si="14"/>
        <v>214.66666666666666</v>
      </c>
      <c r="F20" s="216">
        <f t="shared" si="14"/>
        <v>14168.75</v>
      </c>
      <c r="G20" s="90">
        <f t="shared" si="14"/>
        <v>11431.666666666666</v>
      </c>
      <c r="H20" s="90">
        <f t="shared" si="14"/>
        <v>3280.25</v>
      </c>
      <c r="I20" s="90">
        <f t="shared" si="14"/>
        <v>1188.5</v>
      </c>
      <c r="J20" s="90">
        <f t="shared" si="14"/>
        <v>202.08333333333334</v>
      </c>
      <c r="K20" s="90">
        <f t="shared" si="14"/>
        <v>16102.5</v>
      </c>
      <c r="L20" s="214">
        <f t="shared" si="6"/>
        <v>0.13647992942214371</v>
      </c>
      <c r="M20" s="90">
        <f>AVERAGE(M6:M11,M13:M18)</f>
        <v>14041.833333333334</v>
      </c>
      <c r="N20" s="90">
        <f>AVERAGE(N6:N11,N13:N18)</f>
        <v>4617.583333333333</v>
      </c>
      <c r="O20" s="90">
        <f>AVERAGE(O6:O11,O13:O18)</f>
        <v>511.91666666666669</v>
      </c>
      <c r="P20" s="90">
        <f>AVERAGE(P6:P11,P13:P18)</f>
        <v>222.08333333333334</v>
      </c>
      <c r="Q20" s="90">
        <f>AVERAGE(Q6:Q11,Q13:Q18)</f>
        <v>19393.416666666668</v>
      </c>
      <c r="R20" s="214">
        <f t="shared" si="2"/>
        <v>0.20437302696268711</v>
      </c>
      <c r="S20" s="90">
        <v>10090.333333333332</v>
      </c>
      <c r="T20" s="90">
        <v>3054.5833333333335</v>
      </c>
      <c r="U20" s="90">
        <v>538.33333333333326</v>
      </c>
      <c r="V20" s="90">
        <v>19.5</v>
      </c>
      <c r="W20" s="90">
        <v>13702.75</v>
      </c>
      <c r="X20" s="215">
        <v>-8.4438579494203747E-2</v>
      </c>
      <c r="Y20" s="314">
        <f>AVERAGE(Y19,Y12)</f>
        <v>9409.5</v>
      </c>
      <c r="Z20" s="314">
        <f t="shared" ref="Z20:AC20" si="15">AVERAGE(Z19,Z12)</f>
        <v>3016.5</v>
      </c>
      <c r="AA20" s="314">
        <f t="shared" si="15"/>
        <v>536</v>
      </c>
      <c r="AB20" s="314">
        <f t="shared" si="15"/>
        <v>16.666666666666664</v>
      </c>
      <c r="AC20" s="314">
        <f t="shared" si="15"/>
        <v>12978.666666666668</v>
      </c>
      <c r="AD20" s="509">
        <f t="shared" si="11"/>
        <v>-5.2842191044376596E-2</v>
      </c>
      <c r="AG20" s="333"/>
    </row>
    <row r="21" spans="1:34">
      <c r="A21" s="388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9"/>
      <c r="M21" s="388"/>
      <c r="N21" s="388"/>
      <c r="O21" s="388"/>
      <c r="P21" s="388"/>
      <c r="Q21" s="388"/>
      <c r="R21" s="388"/>
      <c r="S21" s="388"/>
      <c r="T21" s="388"/>
      <c r="U21" s="388"/>
      <c r="V21" s="388"/>
      <c r="W21" s="388"/>
      <c r="X21" s="388"/>
      <c r="Y21" s="390"/>
      <c r="Z21" s="390"/>
      <c r="AA21" s="390"/>
      <c r="AB21" s="390"/>
      <c r="AC21" s="390"/>
      <c r="AD21" s="390"/>
      <c r="AG21" s="333"/>
      <c r="AH21" s="333"/>
    </row>
    <row r="22" spans="1:34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9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92"/>
      <c r="Z22" s="392"/>
      <c r="AA22" s="392"/>
      <c r="AB22" s="392"/>
      <c r="AC22" s="392"/>
      <c r="AD22" s="392"/>
    </row>
    <row r="23" spans="1:34" ht="26.25" customHeight="1">
      <c r="A23" s="439" t="s">
        <v>41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</row>
    <row r="24" spans="1:34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6" spans="1:34">
      <c r="A26" s="34"/>
    </row>
    <row r="27" spans="1:34">
      <c r="A27" s="43" t="s">
        <v>128</v>
      </c>
      <c r="H27" s="30"/>
      <c r="I27" s="35"/>
      <c r="J27" s="35"/>
      <c r="K27" s="35"/>
      <c r="O27" s="30"/>
      <c r="P27" s="35"/>
      <c r="Q27" s="35"/>
      <c r="R27" s="35"/>
      <c r="S27" s="35"/>
      <c r="T27" s="35"/>
      <c r="U27" s="35"/>
      <c r="V27" s="35"/>
      <c r="W27" s="35"/>
      <c r="X27" s="35"/>
      <c r="AA27" s="30"/>
      <c r="AB27" s="432" t="s">
        <v>12</v>
      </c>
      <c r="AC27" s="432"/>
      <c r="AD27" s="35"/>
    </row>
    <row r="28" spans="1:34">
      <c r="A28" s="31">
        <v>43181</v>
      </c>
      <c r="H28" s="35"/>
      <c r="I28" s="35"/>
      <c r="J28" s="35"/>
      <c r="K28" s="35"/>
      <c r="O28" s="432"/>
      <c r="P28" s="432"/>
      <c r="Q28" s="432"/>
      <c r="R28" s="432"/>
      <c r="S28" s="167"/>
      <c r="T28" s="167"/>
      <c r="U28" s="167"/>
      <c r="V28" s="167"/>
      <c r="W28" s="167"/>
      <c r="X28" s="167"/>
      <c r="AA28" s="432" t="s">
        <v>11</v>
      </c>
      <c r="AB28" s="432"/>
      <c r="AC28" s="432"/>
      <c r="AD28" s="432"/>
    </row>
    <row r="29" spans="1:34">
      <c r="X29" t="s">
        <v>125</v>
      </c>
    </row>
  </sheetData>
  <mergeCells count="16">
    <mergeCell ref="O28:R28"/>
    <mergeCell ref="M4:Q4"/>
    <mergeCell ref="R4:R5"/>
    <mergeCell ref="AB27:AC27"/>
    <mergeCell ref="AA28:AD28"/>
    <mergeCell ref="A23:AD23"/>
    <mergeCell ref="Y4:AC4"/>
    <mergeCell ref="AD4:AD5"/>
    <mergeCell ref="X4:X5"/>
    <mergeCell ref="A4:A5"/>
    <mergeCell ref="A2:AD2"/>
    <mergeCell ref="A3:B3"/>
    <mergeCell ref="L4:L5"/>
    <mergeCell ref="B4:F4"/>
    <mergeCell ref="G4:K4"/>
    <mergeCell ref="S4:W4"/>
  </mergeCells>
  <pageMargins left="0" right="0" top="0.35433070866141736" bottom="0.15748031496062992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"/>
  <sheetViews>
    <sheetView topLeftCell="P1" workbookViewId="0">
      <selection activeCell="AK20" sqref="AK20"/>
    </sheetView>
  </sheetViews>
  <sheetFormatPr defaultColWidth="17.7109375" defaultRowHeight="12.75"/>
  <cols>
    <col min="1" max="1" width="17.28515625" customWidth="1"/>
    <col min="2" max="2" width="9.5703125" hidden="1" customWidth="1"/>
    <col min="3" max="5" width="14.140625" hidden="1" customWidth="1"/>
    <col min="6" max="6" width="9.7109375" hidden="1" customWidth="1"/>
    <col min="7" max="7" width="14" hidden="1" customWidth="1"/>
    <col min="8" max="8" width="8.5703125" hidden="1" customWidth="1"/>
    <col min="9" max="9" width="14.5703125" hidden="1" customWidth="1"/>
    <col min="10" max="10" width="8.42578125" hidden="1" customWidth="1"/>
    <col min="11" max="11" width="14.85546875" hidden="1" customWidth="1"/>
    <col min="12" max="12" width="9.5703125" hidden="1" customWidth="1"/>
    <col min="13" max="13" width="8.28515625" hidden="1" customWidth="1"/>
    <col min="14" max="14" width="14.7109375" hidden="1" customWidth="1"/>
    <col min="15" max="15" width="9" hidden="1" customWidth="1"/>
    <col min="16" max="16" width="8.7109375" customWidth="1"/>
    <col min="17" max="17" width="14.7109375" customWidth="1"/>
    <col min="18" max="18" width="8.28515625" hidden="1" customWidth="1"/>
    <col min="19" max="19" width="8.85546875" customWidth="1"/>
    <col min="20" max="20" width="15.5703125" customWidth="1"/>
    <col min="21" max="21" width="8" customWidth="1"/>
    <col min="22" max="22" width="8.5703125" customWidth="1"/>
    <col min="23" max="23" width="15.7109375" customWidth="1"/>
    <col min="24" max="24" width="8.42578125" customWidth="1"/>
    <col min="25" max="25" width="8.5703125" customWidth="1"/>
    <col min="26" max="26" width="15.7109375" customWidth="1"/>
    <col min="27" max="27" width="8.42578125" customWidth="1"/>
    <col min="28" max="28" width="8.5703125" style="315" customWidth="1"/>
    <col min="29" max="29" width="15.7109375" customWidth="1"/>
    <col min="30" max="31" width="8.42578125" customWidth="1"/>
    <col min="32" max="32" width="16" bestFit="1" customWidth="1"/>
    <col min="33" max="33" width="8.42578125" customWidth="1"/>
    <col min="34" max="34" width="8.5703125" style="315" customWidth="1"/>
    <col min="35" max="35" width="16.28515625" bestFit="1" customWidth="1"/>
    <col min="36" max="36" width="8.42578125" customWidth="1"/>
  </cols>
  <sheetData>
    <row r="1" spans="1:39">
      <c r="A1" s="122" t="s">
        <v>103</v>
      </c>
    </row>
    <row r="2" spans="1:39" ht="24" customHeight="1">
      <c r="A2" s="445" t="s">
        <v>152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</row>
    <row r="3" spans="1:39" ht="13.5" customHeight="1" thickBot="1"/>
    <row r="4" spans="1:39" ht="12.75" customHeight="1">
      <c r="A4" s="217"/>
      <c r="B4" s="449">
        <v>2005</v>
      </c>
      <c r="C4" s="449"/>
      <c r="D4" s="449">
        <v>2006</v>
      </c>
      <c r="E4" s="449"/>
      <c r="F4" s="449">
        <v>2007</v>
      </c>
      <c r="G4" s="449"/>
      <c r="H4" s="449">
        <v>2008</v>
      </c>
      <c r="I4" s="449"/>
      <c r="J4" s="449">
        <v>2009</v>
      </c>
      <c r="K4" s="449"/>
      <c r="L4" s="447" t="s">
        <v>33</v>
      </c>
      <c r="M4" s="449">
        <v>2010</v>
      </c>
      <c r="N4" s="449"/>
      <c r="O4" s="447" t="s">
        <v>34</v>
      </c>
      <c r="P4" s="449">
        <v>2011</v>
      </c>
      <c r="Q4" s="449"/>
      <c r="R4" s="447" t="s">
        <v>35</v>
      </c>
      <c r="S4" s="449">
        <v>2012</v>
      </c>
      <c r="T4" s="449"/>
      <c r="U4" s="447" t="s">
        <v>61</v>
      </c>
      <c r="V4" s="449">
        <v>2013</v>
      </c>
      <c r="W4" s="449"/>
      <c r="X4" s="447" t="s">
        <v>95</v>
      </c>
      <c r="Y4" s="449">
        <v>2014</v>
      </c>
      <c r="Z4" s="449"/>
      <c r="AA4" s="447" t="s">
        <v>117</v>
      </c>
      <c r="AB4" s="451">
        <v>2015</v>
      </c>
      <c r="AC4" s="451"/>
      <c r="AD4" s="452" t="s">
        <v>118</v>
      </c>
      <c r="AE4" s="449">
        <v>2016</v>
      </c>
      <c r="AF4" s="449"/>
      <c r="AG4" s="459" t="s">
        <v>121</v>
      </c>
      <c r="AH4" s="449">
        <v>2017</v>
      </c>
      <c r="AI4" s="449"/>
      <c r="AJ4" s="459" t="s">
        <v>131</v>
      </c>
    </row>
    <row r="5" spans="1:39" ht="12.75" customHeight="1">
      <c r="A5" s="218" t="s">
        <v>14</v>
      </c>
      <c r="B5" s="219" t="s">
        <v>15</v>
      </c>
      <c r="C5" s="219" t="s">
        <v>16</v>
      </c>
      <c r="D5" s="219" t="s">
        <v>15</v>
      </c>
      <c r="E5" s="219" t="s">
        <v>16</v>
      </c>
      <c r="F5" s="219" t="s">
        <v>15</v>
      </c>
      <c r="G5" s="219" t="s">
        <v>16</v>
      </c>
      <c r="H5" s="219" t="s">
        <v>15</v>
      </c>
      <c r="I5" s="450" t="s">
        <v>59</v>
      </c>
      <c r="J5" s="219" t="s">
        <v>15</v>
      </c>
      <c r="K5" s="450" t="s">
        <v>59</v>
      </c>
      <c r="L5" s="448"/>
      <c r="M5" s="219" t="s">
        <v>15</v>
      </c>
      <c r="N5" s="450" t="s">
        <v>59</v>
      </c>
      <c r="O5" s="448"/>
      <c r="P5" s="393" t="s">
        <v>15</v>
      </c>
      <c r="Q5" s="450" t="s">
        <v>59</v>
      </c>
      <c r="R5" s="448"/>
      <c r="S5" s="393" t="s">
        <v>15</v>
      </c>
      <c r="T5" s="450" t="s">
        <v>59</v>
      </c>
      <c r="U5" s="448"/>
      <c r="V5" s="393" t="s">
        <v>15</v>
      </c>
      <c r="W5" s="450" t="s">
        <v>59</v>
      </c>
      <c r="X5" s="448"/>
      <c r="Y5" s="393" t="s">
        <v>15</v>
      </c>
      <c r="Z5" s="450" t="s">
        <v>59</v>
      </c>
      <c r="AA5" s="448"/>
      <c r="AB5" s="395" t="s">
        <v>15</v>
      </c>
      <c r="AC5" s="454" t="s">
        <v>59</v>
      </c>
      <c r="AD5" s="453"/>
      <c r="AE5" s="397" t="s">
        <v>15</v>
      </c>
      <c r="AF5" s="450" t="s">
        <v>59</v>
      </c>
      <c r="AG5" s="460"/>
      <c r="AH5" s="397" t="s">
        <v>15</v>
      </c>
      <c r="AI5" s="450" t="s">
        <v>59</v>
      </c>
      <c r="AJ5" s="460"/>
    </row>
    <row r="6" spans="1:39" ht="12.75" customHeight="1">
      <c r="A6" s="220"/>
      <c r="B6" s="221" t="s">
        <v>17</v>
      </c>
      <c r="C6" s="219" t="s">
        <v>31</v>
      </c>
      <c r="D6" s="219" t="s">
        <v>17</v>
      </c>
      <c r="E6" s="219" t="s">
        <v>18</v>
      </c>
      <c r="F6" s="221" t="s">
        <v>17</v>
      </c>
      <c r="G6" s="219" t="s">
        <v>18</v>
      </c>
      <c r="H6" s="219" t="s">
        <v>51</v>
      </c>
      <c r="I6" s="450"/>
      <c r="J6" s="219" t="s">
        <v>51</v>
      </c>
      <c r="K6" s="450"/>
      <c r="L6" s="448"/>
      <c r="M6" s="219" t="s">
        <v>51</v>
      </c>
      <c r="N6" s="450"/>
      <c r="O6" s="448"/>
      <c r="P6" s="394" t="s">
        <v>51</v>
      </c>
      <c r="Q6" s="450"/>
      <c r="R6" s="448"/>
      <c r="S6" s="394" t="s">
        <v>51</v>
      </c>
      <c r="T6" s="450"/>
      <c r="U6" s="448"/>
      <c r="V6" s="394" t="s">
        <v>51</v>
      </c>
      <c r="W6" s="450"/>
      <c r="X6" s="448"/>
      <c r="Y6" s="394" t="s">
        <v>51</v>
      </c>
      <c r="Z6" s="450"/>
      <c r="AA6" s="448"/>
      <c r="AB6" s="396" t="s">
        <v>51</v>
      </c>
      <c r="AC6" s="454"/>
      <c r="AD6" s="453"/>
      <c r="AE6" s="398" t="s">
        <v>51</v>
      </c>
      <c r="AF6" s="450"/>
      <c r="AG6" s="460"/>
      <c r="AH6" s="398" t="s">
        <v>51</v>
      </c>
      <c r="AI6" s="450"/>
      <c r="AJ6" s="460"/>
    </row>
    <row r="7" spans="1:39" ht="19.5" customHeight="1">
      <c r="A7" s="220"/>
      <c r="B7" s="221"/>
      <c r="C7" s="219" t="s">
        <v>13</v>
      </c>
      <c r="D7" s="221"/>
      <c r="E7" s="219" t="s">
        <v>13</v>
      </c>
      <c r="F7" s="221"/>
      <c r="G7" s="219" t="s">
        <v>13</v>
      </c>
      <c r="H7" s="221"/>
      <c r="I7" s="222"/>
      <c r="J7" s="221"/>
      <c r="K7" s="222"/>
      <c r="L7" s="448"/>
      <c r="M7" s="221"/>
      <c r="N7" s="222"/>
      <c r="O7" s="448"/>
      <c r="P7" s="221"/>
      <c r="Q7" s="222"/>
      <c r="R7" s="448"/>
      <c r="S7" s="221"/>
      <c r="T7" s="222"/>
      <c r="U7" s="448"/>
      <c r="V7" s="221"/>
      <c r="W7" s="222"/>
      <c r="X7" s="448"/>
      <c r="Y7" s="221"/>
      <c r="Z7" s="222"/>
      <c r="AA7" s="448"/>
      <c r="AB7" s="319"/>
      <c r="AC7" s="342"/>
      <c r="AD7" s="453"/>
      <c r="AE7" s="317"/>
      <c r="AF7" s="222"/>
      <c r="AG7" s="460"/>
      <c r="AH7" s="317"/>
      <c r="AI7" s="222"/>
      <c r="AJ7" s="460"/>
    </row>
    <row r="8" spans="1:39" ht="15" customHeight="1">
      <c r="A8" s="223" t="s">
        <v>20</v>
      </c>
      <c r="B8" s="26">
        <v>14673</v>
      </c>
      <c r="C8" s="224">
        <v>2940510</v>
      </c>
      <c r="D8" s="26">
        <v>14562</v>
      </c>
      <c r="E8" s="58">
        <v>3818295</v>
      </c>
      <c r="F8" s="26">
        <v>14489</v>
      </c>
      <c r="G8" s="224">
        <v>3005355</v>
      </c>
      <c r="H8" s="26">
        <v>12860</v>
      </c>
      <c r="I8" s="58">
        <v>6429356</v>
      </c>
      <c r="J8" s="26">
        <v>14841</v>
      </c>
      <c r="K8" s="59">
        <v>5725662</v>
      </c>
      <c r="L8" s="207">
        <f t="shared" ref="L8:L22" si="0">J8/H8-1</f>
        <v>0.15404354587869373</v>
      </c>
      <c r="M8" s="26">
        <v>20020</v>
      </c>
      <c r="N8" s="64">
        <v>6402802</v>
      </c>
      <c r="O8" s="181">
        <f t="shared" ref="O8:O22" si="1">M8/J8-1</f>
        <v>0.34896570311973596</v>
      </c>
      <c r="P8" s="26">
        <v>20351</v>
      </c>
      <c r="Q8" s="64">
        <v>7694758</v>
      </c>
      <c r="R8" s="181">
        <f t="shared" ref="R8:R22" si="2">P8/M8-1</f>
        <v>1.6533466533466434E-2</v>
      </c>
      <c r="S8" s="26">
        <v>24571</v>
      </c>
      <c r="T8" s="64">
        <v>7876600</v>
      </c>
      <c r="U8" s="181">
        <f t="shared" ref="U8:U22" si="3">S8/P8-1</f>
        <v>0.20736081765023839</v>
      </c>
      <c r="V8" s="182">
        <v>26620</v>
      </c>
      <c r="W8" s="64">
        <v>12806842</v>
      </c>
      <c r="X8" s="181">
        <v>8.3390989377721603E-2</v>
      </c>
      <c r="Y8" s="26">
        <v>25851</v>
      </c>
      <c r="Z8" s="64">
        <v>12217167.890000001</v>
      </c>
      <c r="AA8" s="181">
        <v>-2.8888054094665661E-2</v>
      </c>
      <c r="AB8" s="182">
        <v>22852</v>
      </c>
      <c r="AC8" s="279">
        <v>8009723.1799999997</v>
      </c>
      <c r="AD8" s="338">
        <v>-0.11601098603535642</v>
      </c>
      <c r="AE8" s="182">
        <f>'δικ κατά μήν και κοιν 2016-2017'!W6</f>
        <v>21711</v>
      </c>
      <c r="AF8" s="311">
        <v>7357934.4800000004</v>
      </c>
      <c r="AG8" s="102">
        <f>'δικ κατά μήν και κοιν 2016-2017'!X6</f>
        <v>-4.992998424645545E-2</v>
      </c>
      <c r="AH8" s="182">
        <f>'δικ κατά μήν και κοιν 2016-2017'!AC6</f>
        <v>21606</v>
      </c>
      <c r="AI8" s="311">
        <v>7061370.6100000003</v>
      </c>
      <c r="AJ8" s="102">
        <f>'δικ κατά μήν και κοιν 2016-2017'!AD6</f>
        <v>-4.8362581180046993E-3</v>
      </c>
      <c r="AL8" s="352"/>
    </row>
    <row r="9" spans="1:39" ht="15" customHeight="1">
      <c r="A9" s="223" t="s">
        <v>21</v>
      </c>
      <c r="B9" s="26">
        <v>14411</v>
      </c>
      <c r="C9" s="224">
        <v>3852153</v>
      </c>
      <c r="D9" s="26">
        <v>14322</v>
      </c>
      <c r="E9" s="58">
        <v>3421812</v>
      </c>
      <c r="F9" s="26">
        <v>13985</v>
      </c>
      <c r="G9" s="224">
        <v>4133238</v>
      </c>
      <c r="H9" s="26">
        <v>12872</v>
      </c>
      <c r="I9" s="58">
        <v>7705397</v>
      </c>
      <c r="J9" s="26">
        <v>15214</v>
      </c>
      <c r="K9" s="59">
        <v>7721727</v>
      </c>
      <c r="L9" s="207">
        <f t="shared" si="0"/>
        <v>0.18194530764449968</v>
      </c>
      <c r="M9" s="26">
        <v>18653</v>
      </c>
      <c r="N9" s="64">
        <v>9341322</v>
      </c>
      <c r="O9" s="181">
        <f t="shared" si="1"/>
        <v>0.22604180360194559</v>
      </c>
      <c r="P9" s="26">
        <v>19835</v>
      </c>
      <c r="Q9" s="64">
        <v>9733588</v>
      </c>
      <c r="R9" s="181">
        <f t="shared" si="2"/>
        <v>6.3367822870315837E-2</v>
      </c>
      <c r="S9" s="26">
        <v>23999</v>
      </c>
      <c r="T9" s="64">
        <v>13293238</v>
      </c>
      <c r="U9" s="181">
        <f t="shared" si="3"/>
        <v>0.20993193849256375</v>
      </c>
      <c r="V9" s="182">
        <v>26029</v>
      </c>
      <c r="W9" s="64">
        <v>13168840</v>
      </c>
      <c r="X9" s="181">
        <v>8.4586857785741154E-2</v>
      </c>
      <c r="Y9" s="26">
        <v>24531</v>
      </c>
      <c r="Z9" s="64">
        <v>15484118.310000001</v>
      </c>
      <c r="AA9" s="181">
        <v>-5.75511929002267E-2</v>
      </c>
      <c r="AB9" s="182">
        <v>22115</v>
      </c>
      <c r="AC9" s="279">
        <v>12834958.65</v>
      </c>
      <c r="AD9" s="338">
        <v>-9.8487627899392582E-2</v>
      </c>
      <c r="AE9" s="182">
        <f>'δικ κατά μήν και κοιν 2016-2017'!W7</f>
        <v>20986</v>
      </c>
      <c r="AF9" s="312">
        <v>13209967.01</v>
      </c>
      <c r="AG9" s="102">
        <f>'δικ κατά μήν και κοιν 2016-2017'!X7</f>
        <v>-5.1051322631697982E-2</v>
      </c>
      <c r="AH9" s="182">
        <f>'δικ κατά μήν και κοιν 2016-2017'!AC7</f>
        <v>20626</v>
      </c>
      <c r="AI9" s="312">
        <v>10095557.810000001</v>
      </c>
      <c r="AJ9" s="102">
        <f>'δικ κατά μήν και κοιν 2016-2017'!AD7</f>
        <v>-1.7154293338416116E-2</v>
      </c>
      <c r="AL9" s="352"/>
    </row>
    <row r="10" spans="1:39" ht="15" customHeight="1">
      <c r="A10" s="223" t="s">
        <v>22</v>
      </c>
      <c r="B10" s="26">
        <v>13289</v>
      </c>
      <c r="C10" s="224">
        <v>4243776</v>
      </c>
      <c r="D10" s="26">
        <v>13512</v>
      </c>
      <c r="E10" s="58">
        <v>4348349</v>
      </c>
      <c r="F10" s="26">
        <v>12972</v>
      </c>
      <c r="G10" s="224">
        <v>4375808</v>
      </c>
      <c r="H10" s="26">
        <v>12054</v>
      </c>
      <c r="I10" s="59">
        <v>6561430</v>
      </c>
      <c r="J10" s="26">
        <v>15070</v>
      </c>
      <c r="K10" s="59">
        <v>6994997</v>
      </c>
      <c r="L10" s="207">
        <f t="shared" si="0"/>
        <v>0.25020740003318398</v>
      </c>
      <c r="M10" s="26">
        <v>18118</v>
      </c>
      <c r="N10" s="64">
        <v>12306668</v>
      </c>
      <c r="O10" s="181">
        <f t="shared" si="1"/>
        <v>0.20225613802256137</v>
      </c>
      <c r="P10" s="26">
        <v>18795</v>
      </c>
      <c r="Q10" s="64">
        <v>16379537</v>
      </c>
      <c r="R10" s="181">
        <f t="shared" si="2"/>
        <v>3.7366155204768825E-2</v>
      </c>
      <c r="S10" s="26">
        <v>23365</v>
      </c>
      <c r="T10" s="64">
        <v>13221451</v>
      </c>
      <c r="U10" s="181">
        <f t="shared" si="3"/>
        <v>0.24314977387603087</v>
      </c>
      <c r="V10" s="182">
        <v>25463</v>
      </c>
      <c r="W10" s="64">
        <v>8845520</v>
      </c>
      <c r="X10" s="181">
        <v>8.9792424566659479E-2</v>
      </c>
      <c r="Y10" s="26">
        <v>22756</v>
      </c>
      <c r="Z10" s="64">
        <v>21530313.949999999</v>
      </c>
      <c r="AA10" s="181">
        <v>-0.10631111809291915</v>
      </c>
      <c r="AB10" s="182">
        <v>21503</v>
      </c>
      <c r="AC10" s="279">
        <v>16495174.210000001</v>
      </c>
      <c r="AD10" s="338">
        <v>-5.5062401124978066E-2</v>
      </c>
      <c r="AE10" s="182">
        <f>'δικ κατά μήν και κοιν 2016-2017'!W8</f>
        <v>18701</v>
      </c>
      <c r="AF10" s="312">
        <v>14919427.77</v>
      </c>
      <c r="AG10" s="102">
        <f>'δικ κατά μήν και κοιν 2016-2017'!X8</f>
        <v>-0.13030739896758592</v>
      </c>
      <c r="AH10" s="182">
        <f>'δικ κατά μήν και κοιν 2016-2017'!AC8</f>
        <v>18583</v>
      </c>
      <c r="AI10" s="339">
        <v>16551348.83</v>
      </c>
      <c r="AJ10" s="102">
        <f>'δικ κατά μήν και κοιν 2016-2017'!AD8</f>
        <v>-6.3098230041174208E-3</v>
      </c>
      <c r="AL10" s="352"/>
    </row>
    <row r="11" spans="1:39" ht="15" customHeight="1">
      <c r="A11" s="223" t="s">
        <v>23</v>
      </c>
      <c r="B11" s="26">
        <v>8005</v>
      </c>
      <c r="C11" s="224">
        <v>3585663</v>
      </c>
      <c r="D11" s="26">
        <v>8879</v>
      </c>
      <c r="E11" s="58">
        <v>4502221</v>
      </c>
      <c r="F11" s="26">
        <v>8319</v>
      </c>
      <c r="G11" s="224">
        <v>3911497</v>
      </c>
      <c r="H11" s="26">
        <v>7536</v>
      </c>
      <c r="I11" s="58">
        <v>6895257</v>
      </c>
      <c r="J11" s="26">
        <v>11372</v>
      </c>
      <c r="K11" s="58">
        <v>6955494</v>
      </c>
      <c r="L11" s="207">
        <f t="shared" si="0"/>
        <v>0.50902335456475578</v>
      </c>
      <c r="M11" s="26">
        <v>13085</v>
      </c>
      <c r="N11" s="63">
        <v>8344709</v>
      </c>
      <c r="O11" s="181">
        <f t="shared" si="1"/>
        <v>0.1506331340133662</v>
      </c>
      <c r="P11" s="26">
        <v>14693</v>
      </c>
      <c r="Q11" s="63">
        <v>8299999</v>
      </c>
      <c r="R11" s="181">
        <f t="shared" si="2"/>
        <v>0.12288880397401614</v>
      </c>
      <c r="S11" s="26">
        <v>20574</v>
      </c>
      <c r="T11" s="63">
        <v>16676663</v>
      </c>
      <c r="U11" s="181">
        <f t="shared" si="3"/>
        <v>0.40025862655686373</v>
      </c>
      <c r="V11" s="182">
        <v>22232</v>
      </c>
      <c r="W11" s="63">
        <v>28124828</v>
      </c>
      <c r="X11" s="181">
        <v>8.0587148828618727E-2</v>
      </c>
      <c r="Y11" s="26">
        <v>16029</v>
      </c>
      <c r="Z11" s="63">
        <v>8958941.1099999994</v>
      </c>
      <c r="AA11" s="181">
        <v>-0.27901223461676861</v>
      </c>
      <c r="AB11" s="182">
        <v>14653</v>
      </c>
      <c r="AC11" s="226">
        <v>9258461.4900000002</v>
      </c>
      <c r="AD11" s="338">
        <v>-8.5844407012290236E-2</v>
      </c>
      <c r="AE11" s="182">
        <f>'δικ κατά μήν και κοιν 2016-2017'!W9</f>
        <v>12541</v>
      </c>
      <c r="AF11" s="312">
        <v>11580668.84</v>
      </c>
      <c r="AG11" s="102">
        <f>'δικ κατά μήν και κοιν 2016-2017'!X9</f>
        <v>-0.14413430696785645</v>
      </c>
      <c r="AH11" s="182">
        <f>'δικ κατά μήν και κοιν 2016-2017'!AC9</f>
        <v>12504</v>
      </c>
      <c r="AI11" s="312">
        <v>9722923.1099999994</v>
      </c>
      <c r="AJ11" s="102">
        <f>'δικ κατά μήν και κοιν 2016-2017'!AD9</f>
        <v>-2.9503229407543685E-3</v>
      </c>
      <c r="AL11" s="352"/>
    </row>
    <row r="12" spans="1:39" ht="15" customHeight="1">
      <c r="A12" s="223" t="s">
        <v>24</v>
      </c>
      <c r="B12" s="26">
        <v>7266</v>
      </c>
      <c r="C12" s="224">
        <v>2647918</v>
      </c>
      <c r="D12" s="26">
        <v>7355</v>
      </c>
      <c r="E12" s="58">
        <v>2639504.41</v>
      </c>
      <c r="F12" s="26">
        <v>6149</v>
      </c>
      <c r="G12" s="224">
        <v>3349936</v>
      </c>
      <c r="H12" s="26">
        <v>5808</v>
      </c>
      <c r="I12" s="58">
        <v>4136432</v>
      </c>
      <c r="J12" s="26">
        <v>9699</v>
      </c>
      <c r="K12" s="58">
        <v>9179790</v>
      </c>
      <c r="L12" s="207">
        <f t="shared" si="0"/>
        <v>0.66993801652892571</v>
      </c>
      <c r="M12" s="26">
        <v>10740</v>
      </c>
      <c r="N12" s="63">
        <v>10398300</v>
      </c>
      <c r="O12" s="181">
        <f t="shared" si="1"/>
        <v>0.10733065264460251</v>
      </c>
      <c r="P12" s="26">
        <v>12109</v>
      </c>
      <c r="Q12" s="63">
        <v>8780870</v>
      </c>
      <c r="R12" s="181">
        <f t="shared" si="2"/>
        <v>0.1274674115456238</v>
      </c>
      <c r="S12" s="26">
        <v>15841</v>
      </c>
      <c r="T12" s="63">
        <v>14404648</v>
      </c>
      <c r="U12" s="181">
        <f t="shared" si="3"/>
        <v>0.30820051201585597</v>
      </c>
      <c r="V12" s="182">
        <v>18833</v>
      </c>
      <c r="W12" s="63">
        <v>12962000</v>
      </c>
      <c r="X12" s="181">
        <v>0.18887696483807837</v>
      </c>
      <c r="Y12" s="26">
        <v>11451</v>
      </c>
      <c r="Z12" s="63">
        <v>15803638.560000001</v>
      </c>
      <c r="AA12" s="181">
        <v>-0.39197153931927997</v>
      </c>
      <c r="AB12" s="182">
        <v>9932</v>
      </c>
      <c r="AC12" s="226">
        <v>12898529.34</v>
      </c>
      <c r="AD12" s="338">
        <v>-0.13265217011614705</v>
      </c>
      <c r="AE12" s="182">
        <f>'δικ κατά μήν και κοιν 2016-2017'!W10</f>
        <v>8468</v>
      </c>
      <c r="AF12" s="313">
        <v>5165648.1399999997</v>
      </c>
      <c r="AG12" s="102">
        <f>'δικ κατά μήν και κοιν 2016-2017'!X10</f>
        <v>-0.1474023358840113</v>
      </c>
      <c r="AH12" s="182">
        <f>'δικ κατά μήν και κοιν 2016-2017'!AC10</f>
        <v>7916</v>
      </c>
      <c r="AI12" s="279">
        <v>8785684.6400000006</v>
      </c>
      <c r="AJ12" s="102">
        <f>'δικ κατά μήν και κοιν 2016-2017'!AD10</f>
        <v>-6.5186584789796886E-2</v>
      </c>
      <c r="AL12" s="352"/>
    </row>
    <row r="13" spans="1:39" ht="15" customHeight="1" thickBot="1">
      <c r="A13" s="227" t="s">
        <v>25</v>
      </c>
      <c r="B13" s="19">
        <v>7282</v>
      </c>
      <c r="C13" s="228">
        <v>2036403</v>
      </c>
      <c r="D13" s="19">
        <v>7260</v>
      </c>
      <c r="E13" s="72">
        <v>1734611.23</v>
      </c>
      <c r="F13" s="19">
        <v>6516</v>
      </c>
      <c r="G13" s="228">
        <v>2056713</v>
      </c>
      <c r="H13" s="19">
        <v>5954</v>
      </c>
      <c r="I13" s="72">
        <v>2584829.96</v>
      </c>
      <c r="J13" s="19">
        <v>10145</v>
      </c>
      <c r="K13" s="72">
        <v>4954591</v>
      </c>
      <c r="L13" s="229">
        <f t="shared" si="0"/>
        <v>0.70389654014108172</v>
      </c>
      <c r="M13" s="19">
        <v>11103</v>
      </c>
      <c r="N13" s="68">
        <v>6021837</v>
      </c>
      <c r="O13" s="183">
        <f t="shared" si="1"/>
        <v>9.4430754066042288E-2</v>
      </c>
      <c r="P13" s="19">
        <v>12719</v>
      </c>
      <c r="Q13" s="68">
        <v>6967932</v>
      </c>
      <c r="R13" s="183">
        <f t="shared" si="2"/>
        <v>0.14554624876159594</v>
      </c>
      <c r="S13" s="19">
        <v>15488</v>
      </c>
      <c r="T13" s="68">
        <v>9288140</v>
      </c>
      <c r="U13" s="183">
        <f t="shared" si="3"/>
        <v>0.21770579448069816</v>
      </c>
      <c r="V13" s="185">
        <v>18956</v>
      </c>
      <c r="W13" s="68">
        <v>10602509</v>
      </c>
      <c r="X13" s="183">
        <v>0.22391528925619841</v>
      </c>
      <c r="Y13" s="19">
        <v>11520</v>
      </c>
      <c r="Z13" s="68">
        <v>6037919.7999999998</v>
      </c>
      <c r="AA13" s="183">
        <v>-0.39227685165646764</v>
      </c>
      <c r="AB13" s="320">
        <v>9972</v>
      </c>
      <c r="AC13" s="301">
        <v>5320199.95</v>
      </c>
      <c r="AD13" s="343">
        <v>-0.13437500000000002</v>
      </c>
      <c r="AE13" s="185">
        <f>'δικ κατά μήν και κοιν 2016-2017'!W11</f>
        <v>7968</v>
      </c>
      <c r="AF13" s="301">
        <v>4609951.57</v>
      </c>
      <c r="AG13" s="341">
        <f>'δικ κατά μήν και κοιν 2016-2017'!X11</f>
        <v>-0.2009626955475331</v>
      </c>
      <c r="AH13" s="182">
        <f>'δικ κατά μήν και κοιν 2016-2017'!AC11</f>
        <v>7156</v>
      </c>
      <c r="AI13" s="301">
        <v>3097782.99</v>
      </c>
      <c r="AJ13" s="341">
        <f>'δικ κατά μήν και κοιν 2016-2017'!AD11</f>
        <v>-0.1019076305220884</v>
      </c>
      <c r="AL13" s="352"/>
    </row>
    <row r="14" spans="1:39" s="315" customFormat="1" ht="57" customHeight="1" thickBot="1">
      <c r="A14" s="324" t="s">
        <v>52</v>
      </c>
      <c r="B14" s="243">
        <f>AVERAGE(B8:B13)</f>
        <v>10821</v>
      </c>
      <c r="C14" s="325">
        <f>SUM(C8:C13)</f>
        <v>19306423</v>
      </c>
      <c r="D14" s="243">
        <f>AVERAGE(D8:D13)</f>
        <v>10981.666666666666</v>
      </c>
      <c r="E14" s="326">
        <f>SUM(E8:E13)</f>
        <v>20464792.640000001</v>
      </c>
      <c r="F14" s="243">
        <f>AVERAGE(F8:F13)</f>
        <v>10405</v>
      </c>
      <c r="G14" s="325">
        <f>SUM(G8:G13)</f>
        <v>20832547</v>
      </c>
      <c r="H14" s="243">
        <f>AVERAGE(H8:H13)</f>
        <v>9514</v>
      </c>
      <c r="I14" s="327">
        <f>SUM(I8:I13)</f>
        <v>34312701.960000001</v>
      </c>
      <c r="J14" s="243">
        <f>AVERAGE(J8:J13)</f>
        <v>12723.5</v>
      </c>
      <c r="K14" s="327">
        <f>SUM(K8:K13)</f>
        <v>41532261</v>
      </c>
      <c r="L14" s="328">
        <f t="shared" si="0"/>
        <v>0.33734496531427371</v>
      </c>
      <c r="M14" s="243">
        <f>AVERAGE(M8:M13)</f>
        <v>15286.5</v>
      </c>
      <c r="N14" s="329">
        <f>SUM(N8:N13)</f>
        <v>52815638</v>
      </c>
      <c r="O14" s="330">
        <f t="shared" si="1"/>
        <v>0.20143828349117765</v>
      </c>
      <c r="P14" s="243">
        <f>AVERAGE(P8:P13)</f>
        <v>16417</v>
      </c>
      <c r="Q14" s="329">
        <f>SUM(Q8:Q13)</f>
        <v>57856684</v>
      </c>
      <c r="R14" s="330">
        <f t="shared" si="2"/>
        <v>7.3954142544074841E-2</v>
      </c>
      <c r="S14" s="243">
        <f>AVERAGE(S8:S13)</f>
        <v>20639.666666666668</v>
      </c>
      <c r="T14" s="329">
        <f>SUM(T8:T13)</f>
        <v>74760740</v>
      </c>
      <c r="U14" s="330">
        <f t="shared" si="3"/>
        <v>0.25721305151164442</v>
      </c>
      <c r="V14" s="243">
        <f>AVERAGE(V8:V13)</f>
        <v>23022.166666666668</v>
      </c>
      <c r="W14" s="329">
        <f>SUM(W8:W13)</f>
        <v>86510539</v>
      </c>
      <c r="X14" s="328">
        <f t="shared" ref="X14" si="4">V14/S14-1</f>
        <v>0.1154330657794862</v>
      </c>
      <c r="Y14" s="314">
        <v>18689.666666666668</v>
      </c>
      <c r="Z14" s="329">
        <v>80032099.620000005</v>
      </c>
      <c r="AA14" s="328">
        <v>-0.18818819543483456</v>
      </c>
      <c r="AB14" s="321">
        <v>16837.833333333332</v>
      </c>
      <c r="AC14" s="329">
        <v>64817046.820000008</v>
      </c>
      <c r="AD14" s="331">
        <v>-9.9083272396511601E-2</v>
      </c>
      <c r="AE14" s="348">
        <f>'δικ κατά μήν και κοιν 2016-2017'!W12</f>
        <v>15062.5</v>
      </c>
      <c r="AF14" s="329">
        <v>56843597.81000001</v>
      </c>
      <c r="AG14" s="176">
        <f>'δικ κατά μήν και κοιν 2016-2017'!X12</f>
        <v>-0.10543716036307116</v>
      </c>
      <c r="AH14" s="353">
        <f>AVERAGE(AH8:AH13)</f>
        <v>14731.833333333334</v>
      </c>
      <c r="AI14" s="329">
        <f>AVERAGE(AI8:AI13)</f>
        <v>9219111.331666667</v>
      </c>
      <c r="AJ14" s="354">
        <f>'δικ κατά μήν και κοιν 2016-2017'!AD12</f>
        <v>-2.195297372060856E-2</v>
      </c>
      <c r="AL14" s="352"/>
      <c r="AM14"/>
    </row>
    <row r="15" spans="1:39" ht="15" customHeight="1">
      <c r="A15" s="230" t="s">
        <v>26</v>
      </c>
      <c r="B15" s="27">
        <v>8708</v>
      </c>
      <c r="C15" s="231">
        <v>1031804</v>
      </c>
      <c r="D15" s="27">
        <v>8866</v>
      </c>
      <c r="E15" s="232">
        <v>2106129</v>
      </c>
      <c r="F15" s="27">
        <v>8061</v>
      </c>
      <c r="G15" s="231">
        <v>1502791</v>
      </c>
      <c r="H15" s="27">
        <v>7529</v>
      </c>
      <c r="I15" s="232">
        <v>2428466</v>
      </c>
      <c r="J15" s="27">
        <v>12127</v>
      </c>
      <c r="K15" s="232">
        <v>5106587</v>
      </c>
      <c r="L15" s="233">
        <f t="shared" si="0"/>
        <v>0.61070527294461407</v>
      </c>
      <c r="M15" s="27">
        <v>12749</v>
      </c>
      <c r="N15" s="82">
        <v>3590014</v>
      </c>
      <c r="O15" s="184">
        <f t="shared" si="1"/>
        <v>5.1290508782056543E-2</v>
      </c>
      <c r="P15" s="27">
        <v>14759</v>
      </c>
      <c r="Q15" s="82">
        <v>3742612</v>
      </c>
      <c r="R15" s="184">
        <f t="shared" si="2"/>
        <v>0.15765942426857005</v>
      </c>
      <c r="S15" s="27">
        <v>17559</v>
      </c>
      <c r="T15" s="82">
        <v>7397094</v>
      </c>
      <c r="U15" s="184">
        <f t="shared" si="3"/>
        <v>0.18971475032183749</v>
      </c>
      <c r="V15" s="234">
        <v>20026</v>
      </c>
      <c r="W15" s="82">
        <v>8606327</v>
      </c>
      <c r="X15" s="184">
        <v>0.14049775044136914</v>
      </c>
      <c r="Y15" s="27">
        <v>12962</v>
      </c>
      <c r="Z15" s="82">
        <v>7529240.8700000001</v>
      </c>
      <c r="AA15" s="235">
        <v>-0.35274143613302711</v>
      </c>
      <c r="AB15" s="322">
        <v>11922</v>
      </c>
      <c r="AC15" s="344">
        <v>5223997.03</v>
      </c>
      <c r="AD15" s="345">
        <v>-8.0234531708069712E-2</v>
      </c>
      <c r="AE15" s="349">
        <f>'δικ κατά μήν και κοιν 2016-2017'!W13</f>
        <v>10340</v>
      </c>
      <c r="AF15" s="82">
        <v>4120406.06</v>
      </c>
      <c r="AG15" s="310">
        <f>'δικ κατά μήν και κοιν 2016-2017'!X13</f>
        <v>-0.13269585639993287</v>
      </c>
      <c r="AH15" s="234">
        <f>'δικ κατά μήν και κοιν 2016-2017'!AC13</f>
        <v>9655</v>
      </c>
      <c r="AI15" s="82">
        <v>3724143.08</v>
      </c>
      <c r="AJ15" s="236">
        <f>'δικ κατά μήν και κοιν 2016-2017'!AD13</f>
        <v>-6.6247582205029021E-2</v>
      </c>
      <c r="AL15" s="352"/>
    </row>
    <row r="16" spans="1:39" ht="15" customHeight="1">
      <c r="A16" s="223" t="s">
        <v>7</v>
      </c>
      <c r="B16" s="26">
        <v>8419</v>
      </c>
      <c r="C16" s="224">
        <v>2904935.01</v>
      </c>
      <c r="D16" s="26">
        <v>8827</v>
      </c>
      <c r="E16" s="58">
        <v>1377861</v>
      </c>
      <c r="F16" s="26">
        <v>7992</v>
      </c>
      <c r="G16" s="224">
        <v>2217876</v>
      </c>
      <c r="H16" s="26">
        <v>7648</v>
      </c>
      <c r="I16" s="58">
        <v>3006346</v>
      </c>
      <c r="J16" s="26">
        <v>12023</v>
      </c>
      <c r="K16" s="58">
        <v>4571245</v>
      </c>
      <c r="L16" s="207">
        <f t="shared" si="0"/>
        <v>0.57204497907949792</v>
      </c>
      <c r="M16" s="26">
        <v>12320</v>
      </c>
      <c r="N16" s="63">
        <v>5135684</v>
      </c>
      <c r="O16" s="181">
        <f t="shared" si="1"/>
        <v>2.470265324794152E-2</v>
      </c>
      <c r="P16" s="26">
        <v>14356</v>
      </c>
      <c r="Q16" s="63">
        <v>5949558</v>
      </c>
      <c r="R16" s="181">
        <f t="shared" si="2"/>
        <v>0.16525974025974022</v>
      </c>
      <c r="S16" s="26">
        <v>16606</v>
      </c>
      <c r="T16" s="63">
        <v>6406861</v>
      </c>
      <c r="U16" s="181">
        <f t="shared" si="3"/>
        <v>0.15672889384229594</v>
      </c>
      <c r="V16" s="182">
        <v>19330</v>
      </c>
      <c r="W16" s="63">
        <v>9095878</v>
      </c>
      <c r="X16" s="181">
        <v>0.16403709502589425</v>
      </c>
      <c r="Y16" s="26">
        <v>12376</v>
      </c>
      <c r="Z16" s="63">
        <v>4793045.2300000004</v>
      </c>
      <c r="AA16" s="225">
        <v>-0.3597516813243663</v>
      </c>
      <c r="AB16" s="182">
        <v>11497</v>
      </c>
      <c r="AC16" s="226">
        <v>4088196.16</v>
      </c>
      <c r="AD16" s="338">
        <v>-7.1024563671622465E-2</v>
      </c>
      <c r="AE16" s="350">
        <f>'δικ κατά μήν και κοιν 2016-2017'!W14</f>
        <v>10709</v>
      </c>
      <c r="AF16" s="226">
        <v>3810781.64</v>
      </c>
      <c r="AG16" s="102">
        <f>'δικ κατά μήν και κοιν 2016-2017'!X14</f>
        <v>-6.8539619031051546E-2</v>
      </c>
      <c r="AH16" s="234">
        <f>'δικ κατά μήν και κοιν 2016-2017'!AC14</f>
        <v>9799</v>
      </c>
      <c r="AI16" s="226">
        <v>4342969.79</v>
      </c>
      <c r="AJ16" s="236">
        <f>'δικ κατά μήν και κοιν 2016-2017'!AD14</f>
        <v>-8.4975254458866334E-2</v>
      </c>
      <c r="AL16" s="352"/>
    </row>
    <row r="17" spans="1:38" ht="15" customHeight="1">
      <c r="A17" s="223" t="s">
        <v>27</v>
      </c>
      <c r="B17" s="26">
        <v>7846</v>
      </c>
      <c r="C17" s="224">
        <v>2923665.34</v>
      </c>
      <c r="D17" s="26">
        <v>8413</v>
      </c>
      <c r="E17" s="58">
        <v>3020351.79</v>
      </c>
      <c r="F17" s="26">
        <v>7618</v>
      </c>
      <c r="G17" s="224">
        <v>2150669</v>
      </c>
      <c r="H17" s="26">
        <v>6945</v>
      </c>
      <c r="I17" s="58">
        <v>3873569</v>
      </c>
      <c r="J17" s="26">
        <v>11661</v>
      </c>
      <c r="K17" s="58">
        <v>7025665</v>
      </c>
      <c r="L17" s="207">
        <f t="shared" si="0"/>
        <v>0.67904967602591793</v>
      </c>
      <c r="M17" s="26">
        <v>11323</v>
      </c>
      <c r="N17" s="63">
        <v>8542058</v>
      </c>
      <c r="O17" s="181">
        <f t="shared" si="1"/>
        <v>-2.8985507246376829E-2</v>
      </c>
      <c r="P17" s="26">
        <v>13780</v>
      </c>
      <c r="Q17" s="63">
        <v>8229483</v>
      </c>
      <c r="R17" s="181">
        <f t="shared" si="2"/>
        <v>0.21699196326061987</v>
      </c>
      <c r="S17" s="26">
        <v>16394</v>
      </c>
      <c r="T17" s="63">
        <v>11517137</v>
      </c>
      <c r="U17" s="181">
        <f t="shared" si="3"/>
        <v>0.18969521044992743</v>
      </c>
      <c r="V17" s="182">
        <v>19612</v>
      </c>
      <c r="W17" s="63">
        <v>9533807</v>
      </c>
      <c r="X17" s="181">
        <v>0.19629132609491284</v>
      </c>
      <c r="Y17" s="26">
        <v>12280</v>
      </c>
      <c r="Z17" s="63">
        <v>8105076.2800000003</v>
      </c>
      <c r="AA17" s="225">
        <v>-0.37385274321843764</v>
      </c>
      <c r="AB17" s="182">
        <v>9999</v>
      </c>
      <c r="AC17" s="226">
        <v>5349213.13</v>
      </c>
      <c r="AD17" s="338">
        <v>-0.18574918566775245</v>
      </c>
      <c r="AE17" s="350">
        <f>'δικ κατά μήν και κοιν 2016-2017'!W15</f>
        <v>9284</v>
      </c>
      <c r="AF17" s="226">
        <v>6698222.1299999999</v>
      </c>
      <c r="AG17" s="102">
        <f>'δικ κατά μήν και κοιν 2016-2017'!X15</f>
        <v>-7.1507150715071521E-2</v>
      </c>
      <c r="AH17" s="234">
        <f>'δικ κατά μήν και κοιν 2016-2017'!AC15</f>
        <v>8103</v>
      </c>
      <c r="AI17" s="226">
        <v>6156472.1299999999</v>
      </c>
      <c r="AJ17" s="236">
        <f>'δικ κατά μήν και κοιν 2016-2017'!AD15</f>
        <v>-0.12720809995691518</v>
      </c>
      <c r="AL17" s="352"/>
    </row>
    <row r="18" spans="1:38" ht="15" customHeight="1">
      <c r="A18" s="223" t="s">
        <v>28</v>
      </c>
      <c r="B18" s="26">
        <v>6917</v>
      </c>
      <c r="C18" s="224">
        <v>1827238</v>
      </c>
      <c r="D18" s="26">
        <v>6743</v>
      </c>
      <c r="E18" s="58">
        <v>2304286</v>
      </c>
      <c r="F18" s="26">
        <v>5798</v>
      </c>
      <c r="G18" s="224">
        <v>2070347</v>
      </c>
      <c r="H18" s="26">
        <v>5771</v>
      </c>
      <c r="I18" s="58">
        <v>3454842</v>
      </c>
      <c r="J18" s="26">
        <v>10381</v>
      </c>
      <c r="K18" s="58">
        <v>5069350</v>
      </c>
      <c r="L18" s="207">
        <f t="shared" si="0"/>
        <v>0.79882169468029796</v>
      </c>
      <c r="M18" s="26">
        <v>9802</v>
      </c>
      <c r="N18" s="63">
        <v>4385709</v>
      </c>
      <c r="O18" s="181">
        <f t="shared" si="1"/>
        <v>-5.5774973509295833E-2</v>
      </c>
      <c r="P18" s="26">
        <v>12259</v>
      </c>
      <c r="Q18" s="63">
        <v>7387566</v>
      </c>
      <c r="R18" s="181">
        <f t="shared" si="2"/>
        <v>0.25066312997347473</v>
      </c>
      <c r="S18" s="26">
        <v>14368</v>
      </c>
      <c r="T18" s="63">
        <v>9890312</v>
      </c>
      <c r="U18" s="181">
        <f t="shared" si="3"/>
        <v>0.172036870870381</v>
      </c>
      <c r="V18" s="182">
        <v>16726</v>
      </c>
      <c r="W18" s="63">
        <v>13392733.119999999</v>
      </c>
      <c r="X18" s="181">
        <v>0.16411469933184852</v>
      </c>
      <c r="Y18" s="26">
        <v>10128</v>
      </c>
      <c r="Z18" s="63">
        <v>6274512.7000000002</v>
      </c>
      <c r="AA18" s="225">
        <v>-0.39447566662680855</v>
      </c>
      <c r="AB18" s="182">
        <v>8308</v>
      </c>
      <c r="AC18" s="226">
        <v>7804219.7999999998</v>
      </c>
      <c r="AD18" s="338">
        <v>-0.17969984202211686</v>
      </c>
      <c r="AE18" s="350">
        <f>'δικ κατά μήν και κοιν 2016-2017'!W16</f>
        <v>8161</v>
      </c>
      <c r="AF18" s="226">
        <v>4473853.51</v>
      </c>
      <c r="AG18" s="102">
        <f>'δικ κατά μήν και κοιν 2016-2017'!X16</f>
        <v>-1.7693789118921499E-2</v>
      </c>
      <c r="AH18" s="234">
        <f>'δικ κατά μήν και κοιν 2016-2017'!AC16</f>
        <v>6610</v>
      </c>
      <c r="AI18" s="226">
        <v>3411799.89</v>
      </c>
      <c r="AJ18" s="236">
        <f>'δικ κατά μήν και κοιν 2016-2017'!AD16</f>
        <v>-0.19005023894130624</v>
      </c>
      <c r="AL18" s="352"/>
    </row>
    <row r="19" spans="1:38" ht="15" customHeight="1">
      <c r="A19" s="223" t="s">
        <v>29</v>
      </c>
      <c r="B19" s="26">
        <v>10002</v>
      </c>
      <c r="C19" s="224">
        <v>1990787</v>
      </c>
      <c r="D19" s="26">
        <v>10026</v>
      </c>
      <c r="E19" s="58">
        <v>2463829</v>
      </c>
      <c r="F19" s="26">
        <v>8930</v>
      </c>
      <c r="G19" s="224">
        <v>1916507</v>
      </c>
      <c r="H19" s="26">
        <v>9212</v>
      </c>
      <c r="I19" s="58">
        <v>2912126</v>
      </c>
      <c r="J19" s="26">
        <v>14716</v>
      </c>
      <c r="K19" s="58">
        <v>7174890</v>
      </c>
      <c r="L19" s="207">
        <f t="shared" si="0"/>
        <v>0.59748154580981327</v>
      </c>
      <c r="M19" s="26">
        <v>13996</v>
      </c>
      <c r="N19" s="63">
        <v>6514316</v>
      </c>
      <c r="O19" s="181">
        <f t="shared" si="1"/>
        <v>-4.8926338678988879E-2</v>
      </c>
      <c r="P19" s="26">
        <v>17523</v>
      </c>
      <c r="Q19" s="63">
        <v>8227126</v>
      </c>
      <c r="R19" s="181">
        <f t="shared" si="2"/>
        <v>0.25200057159188338</v>
      </c>
      <c r="S19" s="26">
        <v>19761</v>
      </c>
      <c r="T19" s="63">
        <v>7834516</v>
      </c>
      <c r="U19" s="181">
        <f t="shared" si="3"/>
        <v>0.12771785653141587</v>
      </c>
      <c r="V19" s="182">
        <v>21240</v>
      </c>
      <c r="W19" s="63">
        <v>14301504</v>
      </c>
      <c r="X19" s="181">
        <v>7.484439046606961E-2</v>
      </c>
      <c r="Y19" s="26">
        <v>17543</v>
      </c>
      <c r="Z19" s="226">
        <v>4760848.29</v>
      </c>
      <c r="AA19" s="225">
        <v>-0.17405838041431265</v>
      </c>
      <c r="AB19" s="182">
        <v>16302</v>
      </c>
      <c r="AC19" s="226">
        <v>5176106.72</v>
      </c>
      <c r="AD19" s="338">
        <v>-7.0740466282847914E-2</v>
      </c>
      <c r="AE19" s="350">
        <f>'δικ κατά μήν και κοιν 2016-2017'!W17</f>
        <v>15334</v>
      </c>
      <c r="AF19" s="226">
        <v>4954848.5999999996</v>
      </c>
      <c r="AG19" s="102">
        <f>'δικ κατά μήν και κοιν 2016-2017'!X17</f>
        <v>-5.9379217273954121E-2</v>
      </c>
      <c r="AH19" s="234">
        <f>'δικ κατά μήν και κοιν 2016-2017'!AC17</f>
        <v>14053</v>
      </c>
      <c r="AI19" s="226">
        <v>2997511.52</v>
      </c>
      <c r="AJ19" s="236">
        <f>'δικ κατά μήν και κοιν 2016-2017'!AD17</f>
        <v>-8.3539846093648062E-2</v>
      </c>
      <c r="AL19" s="352"/>
    </row>
    <row r="20" spans="1:38" ht="15" customHeight="1" thickBot="1">
      <c r="A20" s="227" t="s">
        <v>30</v>
      </c>
      <c r="B20" s="19">
        <v>13093</v>
      </c>
      <c r="C20" s="228">
        <v>1935627</v>
      </c>
      <c r="D20" s="19">
        <v>12931</v>
      </c>
      <c r="E20" s="72">
        <v>1815997</v>
      </c>
      <c r="F20" s="19">
        <v>12041</v>
      </c>
      <c r="G20" s="228">
        <v>1472275</v>
      </c>
      <c r="H20" s="19">
        <v>12724</v>
      </c>
      <c r="I20" s="72">
        <v>3423575</v>
      </c>
      <c r="J20" s="19">
        <v>18370</v>
      </c>
      <c r="K20" s="72">
        <v>7432835</v>
      </c>
      <c r="L20" s="229">
        <f t="shared" si="0"/>
        <v>0.44372838729959141</v>
      </c>
      <c r="M20" s="19">
        <v>18115</v>
      </c>
      <c r="N20" s="68">
        <v>4825777</v>
      </c>
      <c r="O20" s="183">
        <f t="shared" si="1"/>
        <v>-1.3881328252585701E-2</v>
      </c>
      <c r="P20" s="19">
        <v>22051</v>
      </c>
      <c r="Q20" s="68">
        <v>6997865</v>
      </c>
      <c r="R20" s="183">
        <f t="shared" si="2"/>
        <v>0.21727849848192116</v>
      </c>
      <c r="S20" s="19">
        <v>24195</v>
      </c>
      <c r="T20" s="68">
        <v>6661968</v>
      </c>
      <c r="U20" s="183">
        <f t="shared" si="3"/>
        <v>9.7229150605414816E-2</v>
      </c>
      <c r="V20" s="185">
        <v>24855</v>
      </c>
      <c r="W20" s="68">
        <v>8462540.4199999999</v>
      </c>
      <c r="X20" s="183">
        <v>2.7278363298202102E-2</v>
      </c>
      <c r="Y20" s="19">
        <v>21335</v>
      </c>
      <c r="Z20" s="68">
        <v>5118992.74</v>
      </c>
      <c r="AA20" s="245">
        <v>-0.14162140414403546</v>
      </c>
      <c r="AB20" s="320">
        <v>20543</v>
      </c>
      <c r="AC20" s="301">
        <v>4820164.46</v>
      </c>
      <c r="AD20" s="343">
        <v>-3.7122099835950273E-2</v>
      </c>
      <c r="AE20" s="351">
        <f>'δικ κατά μήν και κοιν 2016-2017'!W18</f>
        <v>20230</v>
      </c>
      <c r="AF20" s="301">
        <v>4347479.6900000004</v>
      </c>
      <c r="AG20" s="341">
        <f>'δικ κατά μήν και κοιν 2016-2017'!X18</f>
        <v>-1.5236333544273006E-2</v>
      </c>
      <c r="AH20" s="234">
        <f>'δικ κατά μήν και κοιν 2016-2017'!AC18</f>
        <v>19133</v>
      </c>
      <c r="AI20" s="301">
        <v>3915249</v>
      </c>
      <c r="AJ20" s="236">
        <f>'δικ κατά μήν και κοιν 2016-2017'!AD18</f>
        <v>-5.4226396440929303E-2</v>
      </c>
      <c r="AL20" s="352"/>
    </row>
    <row r="21" spans="1:38" ht="57.75" customHeight="1" thickBot="1">
      <c r="A21" s="237" t="s">
        <v>53</v>
      </c>
      <c r="B21" s="246">
        <f>AVERAGE(B15:B20)</f>
        <v>9164.1666666666661</v>
      </c>
      <c r="C21" s="238">
        <f>SUM(C15:C20)</f>
        <v>12614056.35</v>
      </c>
      <c r="D21" s="247">
        <f>AVERAGE(D15:D20)</f>
        <v>9301</v>
      </c>
      <c r="E21" s="239">
        <f>SUM(E15:E20)</f>
        <v>13088453.789999999</v>
      </c>
      <c r="F21" s="246">
        <f>AVERAGE(F15:F20)</f>
        <v>8406.6666666666661</v>
      </c>
      <c r="G21" s="238">
        <f>SUM(G15:G20)</f>
        <v>11330465</v>
      </c>
      <c r="H21" s="216">
        <f>AVERAGE(H15:H20)</f>
        <v>8304.8333333333339</v>
      </c>
      <c r="I21" s="240">
        <f>SUM(I15:I20)</f>
        <v>19098924</v>
      </c>
      <c r="J21" s="216">
        <f>AVERAGE(J15:J20)</f>
        <v>13213</v>
      </c>
      <c r="K21" s="240">
        <f>SUM(K15:K20)</f>
        <v>36380572</v>
      </c>
      <c r="L21" s="241">
        <f t="shared" si="0"/>
        <v>0.59100122418671841</v>
      </c>
      <c r="M21" s="121">
        <f>AVERAGE(M15:M20)</f>
        <v>13050.833333333334</v>
      </c>
      <c r="N21" s="94">
        <f>SUM(N15:N20)</f>
        <v>32993558</v>
      </c>
      <c r="O21" s="242">
        <f t="shared" si="1"/>
        <v>-1.2273266227704971E-2</v>
      </c>
      <c r="P21" s="121">
        <f>AVERAGE(P15:P20)</f>
        <v>15788</v>
      </c>
      <c r="Q21" s="94">
        <f>SUM(Q15:Q20)</f>
        <v>40534210</v>
      </c>
      <c r="R21" s="244">
        <f t="shared" si="2"/>
        <v>0.2097311793627481</v>
      </c>
      <c r="S21" s="121">
        <f>AVERAGE(S15:S20)</f>
        <v>18147.166666666668</v>
      </c>
      <c r="T21" s="94">
        <f>SUM(T15:T20)</f>
        <v>49707888</v>
      </c>
      <c r="U21" s="244">
        <f t="shared" si="3"/>
        <v>0.14942783548686767</v>
      </c>
      <c r="V21" s="243">
        <f>AVERAGE(V15:V20)</f>
        <v>20298.166666666668</v>
      </c>
      <c r="W21" s="94">
        <f>SUM(W15:W20)</f>
        <v>63392789.539999999</v>
      </c>
      <c r="X21" s="242">
        <f>V21/S21-1</f>
        <v>0.1185309001405177</v>
      </c>
      <c r="Y21" s="243">
        <f>AVERAGE(Y15:Y20)</f>
        <v>14437.333333333334</v>
      </c>
      <c r="Z21" s="94">
        <v>36581716.109999999</v>
      </c>
      <c r="AA21" s="330">
        <f>(Y21/V21)-1</f>
        <v>-0.28873707806123705</v>
      </c>
      <c r="AB21" s="321">
        <v>13095.166666666666</v>
      </c>
      <c r="AC21" s="329">
        <v>32461897.300000001</v>
      </c>
      <c r="AD21" s="346">
        <v>-9.2964998152936906E-2</v>
      </c>
      <c r="AE21" s="348">
        <f>'δικ κατά μήν και κοιν 2016-2017'!W19</f>
        <v>12343</v>
      </c>
      <c r="AF21" s="94">
        <v>28405591.629999999</v>
      </c>
      <c r="AG21" s="176">
        <f>'δικ κατά μήν και κοιν 2016-2017'!X19</f>
        <v>-5.7438495119064292E-2</v>
      </c>
      <c r="AH21" s="243">
        <f>AVERAGE(AH15:AH20)</f>
        <v>11225.5</v>
      </c>
      <c r="AI21" s="94">
        <f>SUM(AI15:AI20)</f>
        <v>24548145.41</v>
      </c>
      <c r="AJ21" s="236">
        <f>'δικ κατά μήν και κοιν 2016-2017'!AD19</f>
        <v>-9.0537146560803694E-2</v>
      </c>
      <c r="AL21" s="352"/>
    </row>
    <row r="22" spans="1:38" ht="46.5" customHeight="1" thickBot="1">
      <c r="A22" s="237" t="s">
        <v>54</v>
      </c>
      <c r="B22" s="216">
        <f>AVERAGE(B14,B21)</f>
        <v>9992.5833333333321</v>
      </c>
      <c r="C22" s="248">
        <f>SUM(C14,C21)</f>
        <v>31920479.350000001</v>
      </c>
      <c r="D22" s="216">
        <f>AVERAGE(D14,D21)</f>
        <v>10141.333333333332</v>
      </c>
      <c r="E22" s="249">
        <f>SUM(E14,E21)</f>
        <v>33553246.43</v>
      </c>
      <c r="F22" s="216">
        <f>AVERAGE(F14,F21)</f>
        <v>9405.8333333333321</v>
      </c>
      <c r="G22" s="248">
        <f>SUM(G14,G21)</f>
        <v>32163012</v>
      </c>
      <c r="H22" s="216">
        <f>AVERAGE(H8:H13,H15:H20)</f>
        <v>8909.4166666666661</v>
      </c>
      <c r="I22" s="250">
        <f>SUM(I14,I21)</f>
        <v>53411625.960000001</v>
      </c>
      <c r="J22" s="216">
        <f>AVERAGE(J8:J13,J15:J20)</f>
        <v>12968.25</v>
      </c>
      <c r="K22" s="251">
        <f>SUM(K14,K21)</f>
        <v>77912833</v>
      </c>
      <c r="L22" s="241">
        <f t="shared" si="0"/>
        <v>0.45556667570828635</v>
      </c>
      <c r="M22" s="121">
        <f>AVERAGE(M8:M13,M15:M20)</f>
        <v>14168.666666666666</v>
      </c>
      <c r="N22" s="94">
        <f>SUM(N14,N21)</f>
        <v>85809196</v>
      </c>
      <c r="O22" s="242">
        <f t="shared" si="1"/>
        <v>9.2565817798597738E-2</v>
      </c>
      <c r="P22" s="121">
        <f>AVERAGE(P8:P13,P15:P20)</f>
        <v>16102.5</v>
      </c>
      <c r="Q22" s="94">
        <f>SUM(Q14,Q21)</f>
        <v>98390894</v>
      </c>
      <c r="R22" s="244">
        <f t="shared" si="2"/>
        <v>0.13648661365454284</v>
      </c>
      <c r="S22" s="121">
        <f>AVERAGE(S8:S13,S15:S20)</f>
        <v>19393.416666666668</v>
      </c>
      <c r="T22" s="94">
        <f>SUM(T14,T21)</f>
        <v>124468628</v>
      </c>
      <c r="U22" s="244">
        <f t="shared" si="3"/>
        <v>0.20437302696268711</v>
      </c>
      <c r="V22" s="252">
        <f>AVERAGE(V8:V13,V15:V20)</f>
        <v>21660.166666666668</v>
      </c>
      <c r="W22" s="94">
        <f>SUM(W14,W21)</f>
        <v>149903328.53999999</v>
      </c>
      <c r="X22" s="244">
        <f>V22/S22-1</f>
        <v>0.11688244722221031</v>
      </c>
      <c r="Y22" s="252">
        <f>AVERAGE(Y8:Y13,Y15:Y20)</f>
        <v>16563.5</v>
      </c>
      <c r="Z22" s="94">
        <v>116613815.73</v>
      </c>
      <c r="AA22" s="332">
        <f>(Y22/V22)-1</f>
        <v>-0.23530135963866083</v>
      </c>
      <c r="AB22" s="318">
        <v>14966.5</v>
      </c>
      <c r="AC22" s="329">
        <v>97278944.120000005</v>
      </c>
      <c r="AD22" s="347">
        <v>-9.6416820116521307E-2</v>
      </c>
      <c r="AE22" s="349">
        <f>'δικ κατά μήν και κοιν 2016-2017'!W20</f>
        <v>13702.75</v>
      </c>
      <c r="AF22" s="94">
        <v>85249189.440000013</v>
      </c>
      <c r="AG22" s="310">
        <f>'δικ κατά μήν και κοιν 2016-2017'!X20</f>
        <v>-8.4438579494203747E-2</v>
      </c>
      <c r="AH22" s="318">
        <f>AVERAGE(AH21,AH14)</f>
        <v>12978.666666666668</v>
      </c>
      <c r="AI22" s="94">
        <v>79862813</v>
      </c>
      <c r="AJ22" s="176">
        <f>(AH22/AE22)-1</f>
        <v>-5.2842191044376596E-2</v>
      </c>
      <c r="AL22" s="352"/>
    </row>
    <row r="23" spans="1:38" ht="18" customHeight="1" thickBot="1">
      <c r="A23" s="253" t="s">
        <v>58</v>
      </c>
      <c r="B23" s="254"/>
      <c r="C23" s="254"/>
      <c r="D23" s="254"/>
      <c r="E23" s="254"/>
      <c r="F23" s="254"/>
      <c r="G23" s="255">
        <v>54812341</v>
      </c>
      <c r="H23" s="256"/>
      <c r="I23" s="250">
        <v>54291437</v>
      </c>
      <c r="J23" s="256"/>
      <c r="K23" s="251">
        <v>77869786</v>
      </c>
      <c r="L23" s="257"/>
      <c r="M23" s="258"/>
      <c r="N23" s="94">
        <v>85809195</v>
      </c>
      <c r="O23" s="259"/>
      <c r="P23" s="121"/>
      <c r="Q23" s="94">
        <v>98390894</v>
      </c>
      <c r="R23" s="244"/>
      <c r="S23" s="121"/>
      <c r="T23" s="94">
        <v>124468629</v>
      </c>
      <c r="U23" s="244"/>
      <c r="V23" s="252"/>
      <c r="W23" s="94">
        <v>150239188</v>
      </c>
      <c r="X23" s="244"/>
      <c r="Y23" s="252"/>
      <c r="Z23" s="94">
        <v>117040680</v>
      </c>
      <c r="AA23" s="244"/>
      <c r="AB23" s="318"/>
      <c r="AC23" s="329">
        <v>97619229</v>
      </c>
      <c r="AD23" s="346"/>
      <c r="AE23" s="318"/>
      <c r="AF23" s="329">
        <v>85901796.439999998</v>
      </c>
      <c r="AG23" s="176"/>
      <c r="AH23" s="318"/>
      <c r="AI23" s="329">
        <v>81444713.709999993</v>
      </c>
      <c r="AJ23" s="176"/>
      <c r="AL23" s="352"/>
    </row>
    <row r="24" spans="1:38" ht="10.5" customHeight="1">
      <c r="A24" s="48"/>
      <c r="B24" s="49"/>
      <c r="C24" s="49"/>
      <c r="D24" s="49"/>
      <c r="E24" s="49"/>
      <c r="F24" s="49"/>
      <c r="G24" s="49"/>
      <c r="H24" s="45"/>
      <c r="I24" s="50"/>
      <c r="J24" s="45"/>
      <c r="K24" s="46"/>
      <c r="L24" s="40"/>
      <c r="M24" s="40"/>
      <c r="N24" s="47"/>
      <c r="O24" s="11"/>
      <c r="P24" s="11"/>
      <c r="Q24" s="51"/>
    </row>
    <row r="25" spans="1:38">
      <c r="A25" s="446" t="s">
        <v>56</v>
      </c>
      <c r="B25" s="446"/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</row>
    <row r="26" spans="1:38" ht="12" customHeight="1">
      <c r="A26" s="457" t="s">
        <v>57</v>
      </c>
      <c r="B26" s="457"/>
      <c r="C26" s="457"/>
      <c r="D26" s="457"/>
      <c r="E26" s="457"/>
      <c r="F26" s="457"/>
      <c r="G26" s="457"/>
      <c r="H26" s="457"/>
      <c r="I26" s="457"/>
      <c r="J26" s="457"/>
      <c r="K26" s="457"/>
      <c r="L26" s="457"/>
      <c r="M26" s="457"/>
      <c r="N26" s="457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</row>
    <row r="27" spans="1:38" ht="12.75" customHeight="1">
      <c r="A27" s="458" t="s">
        <v>55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</row>
    <row r="28" spans="1:38" ht="28.5" customHeight="1">
      <c r="A28" s="455" t="s">
        <v>123</v>
      </c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6"/>
      <c r="AC28" s="456"/>
      <c r="AD28" s="456"/>
      <c r="AE28" s="335"/>
      <c r="AF28" s="335"/>
      <c r="AG28" s="335"/>
      <c r="AI28" s="177"/>
    </row>
    <row r="29" spans="1:38">
      <c r="A29" s="31"/>
      <c r="B29" s="30"/>
      <c r="C29" s="30"/>
      <c r="D29" s="30"/>
      <c r="E29" s="30"/>
      <c r="F29" s="432"/>
      <c r="G29" s="432"/>
      <c r="H29" s="36"/>
      <c r="N29" s="33"/>
      <c r="O29" s="33"/>
      <c r="P29" s="33"/>
      <c r="AI29" s="177"/>
    </row>
    <row r="30" spans="1:38">
      <c r="A30" s="34" t="s">
        <v>151</v>
      </c>
      <c r="B30" s="34"/>
      <c r="C30" s="34"/>
      <c r="D30" s="34"/>
      <c r="E30" s="34"/>
      <c r="F30" s="33"/>
      <c r="G30" s="33"/>
      <c r="H30" s="35"/>
      <c r="I30" s="30"/>
      <c r="J30" s="31"/>
      <c r="K30" s="33"/>
      <c r="L30" s="33"/>
      <c r="M30" s="33"/>
      <c r="N30" s="33"/>
      <c r="O30" s="42"/>
      <c r="P30" s="33"/>
      <c r="Q30" s="30"/>
      <c r="R30" s="30"/>
      <c r="S30" s="30"/>
      <c r="T30" s="30"/>
      <c r="U30" s="33"/>
      <c r="V30" s="167"/>
      <c r="W30" s="30"/>
      <c r="X30" s="30"/>
      <c r="Y30" s="30"/>
      <c r="Z30" s="33"/>
      <c r="AA30" s="30"/>
      <c r="AE30" s="30"/>
      <c r="AF30" s="30"/>
      <c r="AG30" s="30"/>
      <c r="AH30" s="323"/>
      <c r="AI30" s="174" t="s">
        <v>12</v>
      </c>
      <c r="AJ30" s="30"/>
    </row>
    <row r="31" spans="1:38">
      <c r="A31" s="31">
        <f>'δικ κατά μήν και κοιν 2016-2017'!A28</f>
        <v>43181</v>
      </c>
      <c r="B31" s="30"/>
      <c r="C31" s="30"/>
      <c r="D31" s="30"/>
      <c r="E31" s="30"/>
      <c r="F31" s="432"/>
      <c r="G31" s="432"/>
      <c r="H31" s="36"/>
      <c r="I31" s="30"/>
      <c r="J31" s="30"/>
      <c r="K31" s="30"/>
      <c r="L31" s="30"/>
      <c r="M31" s="30"/>
      <c r="N31" s="33"/>
      <c r="O31" s="33"/>
      <c r="P31" s="33"/>
      <c r="Q31" s="30"/>
      <c r="R31" s="30"/>
      <c r="S31" s="30"/>
      <c r="T31" s="30"/>
      <c r="U31" s="33"/>
      <c r="V31" s="167"/>
      <c r="W31" s="30"/>
      <c r="X31" s="30"/>
      <c r="Y31" s="30"/>
      <c r="Z31" s="33"/>
      <c r="AA31" s="30"/>
      <c r="AE31" s="30"/>
      <c r="AF31" s="30"/>
      <c r="AG31" s="30"/>
      <c r="AH31" s="323"/>
      <c r="AI31" s="174" t="s">
        <v>11</v>
      </c>
      <c r="AJ31" s="30"/>
    </row>
    <row r="32" spans="1:38">
      <c r="A32" s="31"/>
      <c r="B32" s="30"/>
      <c r="C32" s="30"/>
      <c r="D32" s="30"/>
      <c r="E32" s="30"/>
      <c r="F32" s="432"/>
      <c r="G32" s="432"/>
      <c r="H32" s="36"/>
      <c r="I32" s="30"/>
      <c r="J32" s="30"/>
      <c r="K32" s="30"/>
      <c r="L32" s="30"/>
      <c r="M32" s="30"/>
      <c r="N32" s="33"/>
      <c r="O32" s="33"/>
      <c r="P32" s="33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23"/>
      <c r="AC32" s="30"/>
      <c r="AD32" s="30"/>
      <c r="AE32" s="30"/>
      <c r="AF32" s="30"/>
      <c r="AG32" s="30"/>
      <c r="AI32" s="177"/>
    </row>
    <row r="36" spans="1:1">
      <c r="A36" s="20"/>
    </row>
  </sheetData>
  <mergeCells count="40">
    <mergeCell ref="AF5:AF6"/>
    <mergeCell ref="AE4:AF4"/>
    <mergeCell ref="AG4:AG7"/>
    <mergeCell ref="AH4:AI4"/>
    <mergeCell ref="AJ4:AJ7"/>
    <mergeCell ref="AI5:AI6"/>
    <mergeCell ref="F32:G32"/>
    <mergeCell ref="Q5:Q6"/>
    <mergeCell ref="F29:G29"/>
    <mergeCell ref="F31:G31"/>
    <mergeCell ref="A26:AA26"/>
    <mergeCell ref="A27:AA27"/>
    <mergeCell ref="Z5:Z6"/>
    <mergeCell ref="I5:I6"/>
    <mergeCell ref="L4:L7"/>
    <mergeCell ref="S4:T4"/>
    <mergeCell ref="K5:K6"/>
    <mergeCell ref="AB4:AC4"/>
    <mergeCell ref="AD4:AD7"/>
    <mergeCell ref="AC5:AC6"/>
    <mergeCell ref="F4:G4"/>
    <mergeCell ref="A28:AD28"/>
    <mergeCell ref="Y4:Z4"/>
    <mergeCell ref="M4:N4"/>
    <mergeCell ref="J4:K4"/>
    <mergeCell ref="A2:AA2"/>
    <mergeCell ref="A25:AA25"/>
    <mergeCell ref="AA4:AA7"/>
    <mergeCell ref="B4:C4"/>
    <mergeCell ref="D4:E4"/>
    <mergeCell ref="P4:Q4"/>
    <mergeCell ref="T5:T6"/>
    <mergeCell ref="R4:R7"/>
    <mergeCell ref="H4:I4"/>
    <mergeCell ref="V4:W4"/>
    <mergeCell ref="X4:X7"/>
    <mergeCell ref="W5:W6"/>
    <mergeCell ref="N5:N6"/>
    <mergeCell ref="O4:O7"/>
    <mergeCell ref="U4:U7"/>
  </mergeCells>
  <phoneticPr fontId="0" type="noConversion"/>
  <pageMargins left="0" right="0" top="0" bottom="0" header="0.51181102362204722" footer="0.51181102362204722"/>
  <pageSetup paperSize="9" scale="61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topLeftCell="A10" workbookViewId="0">
      <selection activeCell="K23" sqref="K23"/>
    </sheetView>
  </sheetViews>
  <sheetFormatPr defaultRowHeight="12.75"/>
  <cols>
    <col min="1" max="1" width="5.5703125" customWidth="1"/>
    <col min="2" max="2" width="58" customWidth="1"/>
    <col min="3" max="7" width="12.7109375" customWidth="1"/>
    <col min="8" max="8" width="11" customWidth="1"/>
    <col min="10" max="10" width="10.5703125" bestFit="1" customWidth="1"/>
  </cols>
  <sheetData>
    <row r="1" spans="1:8" ht="19.5" customHeight="1">
      <c r="A1" s="122" t="s">
        <v>107</v>
      </c>
      <c r="B1" s="95"/>
    </row>
    <row r="2" spans="1:8" ht="28.5" customHeight="1">
      <c r="A2" s="462" t="s">
        <v>132</v>
      </c>
      <c r="B2" s="462"/>
      <c r="C2" s="462"/>
      <c r="D2" s="462"/>
      <c r="E2" s="462"/>
      <c r="F2" s="462"/>
      <c r="G2" s="462"/>
      <c r="H2" s="462"/>
    </row>
    <row r="3" spans="1:8" ht="6" customHeight="1" thickBot="1">
      <c r="A3" s="461"/>
      <c r="B3" s="461"/>
      <c r="C3" s="461"/>
    </row>
    <row r="4" spans="1:8" ht="15.75" customHeight="1">
      <c r="A4" s="264"/>
      <c r="B4" s="265"/>
      <c r="C4" s="464" t="s">
        <v>62</v>
      </c>
      <c r="D4" s="464"/>
      <c r="E4" s="464"/>
      <c r="F4" s="464"/>
      <c r="G4" s="464"/>
      <c r="H4" s="465"/>
    </row>
    <row r="5" spans="1:8" ht="17.25" customHeight="1">
      <c r="A5" s="266" t="s">
        <v>63</v>
      </c>
      <c r="B5" s="267" t="s">
        <v>64</v>
      </c>
      <c r="C5" s="467" t="s">
        <v>65</v>
      </c>
      <c r="D5" s="467"/>
      <c r="E5" s="468" t="s">
        <v>66</v>
      </c>
      <c r="F5" s="468"/>
      <c r="G5" s="469" t="s">
        <v>6</v>
      </c>
      <c r="H5" s="463" t="s">
        <v>116</v>
      </c>
    </row>
    <row r="6" spans="1:8" ht="24">
      <c r="A6" s="205"/>
      <c r="B6" s="206"/>
      <c r="C6" s="268" t="s">
        <v>67</v>
      </c>
      <c r="D6" s="269" t="s">
        <v>68</v>
      </c>
      <c r="E6" s="269" t="s">
        <v>68</v>
      </c>
      <c r="F6" s="269" t="s">
        <v>69</v>
      </c>
      <c r="G6" s="469"/>
      <c r="H6" s="463"/>
    </row>
    <row r="7" spans="1:8" ht="15" customHeight="1">
      <c r="A7" s="270">
        <v>1</v>
      </c>
      <c r="B7" s="271" t="s">
        <v>70</v>
      </c>
      <c r="C7" s="260">
        <v>0</v>
      </c>
      <c r="D7" s="63">
        <v>0</v>
      </c>
      <c r="E7" s="64">
        <v>1</v>
      </c>
      <c r="F7" s="64">
        <v>100</v>
      </c>
      <c r="G7" s="63">
        <f>C7+D7+E7+F7</f>
        <v>101</v>
      </c>
      <c r="H7" s="124">
        <f>G7/G30</f>
        <v>3.711734225129543E-3</v>
      </c>
    </row>
    <row r="8" spans="1:8" ht="15" customHeight="1">
      <c r="A8" s="270">
        <v>2</v>
      </c>
      <c r="B8" s="271" t="s">
        <v>71</v>
      </c>
      <c r="C8" s="260">
        <v>0</v>
      </c>
      <c r="D8" s="63">
        <v>0</v>
      </c>
      <c r="E8" s="64">
        <v>0</v>
      </c>
      <c r="F8" s="64">
        <v>27</v>
      </c>
      <c r="G8" s="63">
        <f t="shared" ref="G8:G29" si="0">C8+D8+E8+F8</f>
        <v>27</v>
      </c>
      <c r="H8" s="124">
        <f>G8/G30</f>
        <v>9.9224578295542239E-4</v>
      </c>
    </row>
    <row r="9" spans="1:8" ht="15" customHeight="1">
      <c r="A9" s="270">
        <v>3</v>
      </c>
      <c r="B9" s="271" t="s">
        <v>72</v>
      </c>
      <c r="C9" s="260">
        <v>59</v>
      </c>
      <c r="D9" s="63">
        <v>0</v>
      </c>
      <c r="E9" s="64">
        <v>4</v>
      </c>
      <c r="F9" s="64">
        <v>1085</v>
      </c>
      <c r="G9" s="63">
        <f t="shared" si="0"/>
        <v>1148</v>
      </c>
      <c r="H9" s="124">
        <f>G9/G30</f>
        <v>4.2188820697512036E-2</v>
      </c>
    </row>
    <row r="10" spans="1:8" ht="25.5">
      <c r="A10" s="270">
        <v>4</v>
      </c>
      <c r="B10" s="271" t="s">
        <v>73</v>
      </c>
      <c r="C10" s="261">
        <v>0</v>
      </c>
      <c r="D10" s="66">
        <v>0</v>
      </c>
      <c r="E10" s="67">
        <v>0</v>
      </c>
      <c r="F10" s="59">
        <v>6</v>
      </c>
      <c r="G10" s="63">
        <f t="shared" si="0"/>
        <v>6</v>
      </c>
      <c r="H10" s="124">
        <f>G10/G30</f>
        <v>2.2049906287898276E-4</v>
      </c>
    </row>
    <row r="11" spans="1:8" ht="26.25" customHeight="1">
      <c r="A11" s="270">
        <v>5</v>
      </c>
      <c r="B11" s="271" t="s">
        <v>74</v>
      </c>
      <c r="C11" s="260">
        <v>0</v>
      </c>
      <c r="D11" s="63">
        <v>0</v>
      </c>
      <c r="E11" s="64">
        <v>0</v>
      </c>
      <c r="F11" s="64">
        <v>7</v>
      </c>
      <c r="G11" s="63">
        <f t="shared" si="0"/>
        <v>7</v>
      </c>
      <c r="H11" s="124">
        <f>G11/G30</f>
        <v>2.5724890669214656E-4</v>
      </c>
    </row>
    <row r="12" spans="1:8" ht="15.75" customHeight="1">
      <c r="A12" s="270">
        <v>6</v>
      </c>
      <c r="B12" s="271" t="s">
        <v>75</v>
      </c>
      <c r="C12" s="261">
        <v>0</v>
      </c>
      <c r="D12" s="58">
        <v>1</v>
      </c>
      <c r="E12" s="59">
        <v>8</v>
      </c>
      <c r="F12" s="59">
        <v>759</v>
      </c>
      <c r="G12" s="63">
        <f t="shared" si="0"/>
        <v>768</v>
      </c>
      <c r="H12" s="124">
        <f>G12/G30</f>
        <v>2.8223880048509793E-2</v>
      </c>
    </row>
    <row r="13" spans="1:8" ht="27.75" customHeight="1">
      <c r="A13" s="270">
        <v>7</v>
      </c>
      <c r="B13" s="271" t="s">
        <v>76</v>
      </c>
      <c r="C13" s="261">
        <v>0</v>
      </c>
      <c r="D13" s="58">
        <v>227</v>
      </c>
      <c r="E13" s="59">
        <v>51</v>
      </c>
      <c r="F13" s="59">
        <v>3488</v>
      </c>
      <c r="G13" s="63">
        <f t="shared" si="0"/>
        <v>3766</v>
      </c>
      <c r="H13" s="124">
        <f>G13/G30</f>
        <v>0.13839991180037484</v>
      </c>
    </row>
    <row r="14" spans="1:8" ht="15" customHeight="1">
      <c r="A14" s="270">
        <v>8</v>
      </c>
      <c r="B14" s="271" t="s">
        <v>77</v>
      </c>
      <c r="C14" s="261">
        <v>0</v>
      </c>
      <c r="D14" s="58">
        <v>34</v>
      </c>
      <c r="E14" s="58">
        <v>7</v>
      </c>
      <c r="F14" s="59">
        <v>992</v>
      </c>
      <c r="G14" s="63">
        <f t="shared" si="0"/>
        <v>1033</v>
      </c>
      <c r="H14" s="124">
        <f>G14/G30</f>
        <v>3.7962588658998202E-2</v>
      </c>
    </row>
    <row r="15" spans="1:8" ht="25.5">
      <c r="A15" s="270">
        <v>9</v>
      </c>
      <c r="B15" s="271" t="s">
        <v>78</v>
      </c>
      <c r="C15" s="260">
        <v>0</v>
      </c>
      <c r="D15" s="63">
        <v>3528</v>
      </c>
      <c r="E15" s="64">
        <v>5581</v>
      </c>
      <c r="F15" s="64">
        <f>3328+15</f>
        <v>3343</v>
      </c>
      <c r="G15" s="63">
        <f t="shared" si="0"/>
        <v>12452</v>
      </c>
      <c r="H15" s="124">
        <f>G15/G30</f>
        <v>0.45760905516151557</v>
      </c>
    </row>
    <row r="16" spans="1:8" ht="15" customHeight="1">
      <c r="A16" s="270">
        <v>10</v>
      </c>
      <c r="B16" s="271" t="s">
        <v>79</v>
      </c>
      <c r="C16" s="260">
        <v>0</v>
      </c>
      <c r="D16" s="63">
        <v>0</v>
      </c>
      <c r="E16" s="64">
        <v>0</v>
      </c>
      <c r="F16" s="64">
        <v>275</v>
      </c>
      <c r="G16" s="63">
        <f t="shared" si="0"/>
        <v>275</v>
      </c>
      <c r="H16" s="124">
        <f>G16/G30</f>
        <v>1.0106207048620043E-2</v>
      </c>
    </row>
    <row r="17" spans="1:10" ht="15" customHeight="1">
      <c r="A17" s="270">
        <v>11</v>
      </c>
      <c r="B17" s="271" t="s">
        <v>80</v>
      </c>
      <c r="C17" s="260">
        <v>0</v>
      </c>
      <c r="D17" s="63">
        <v>0</v>
      </c>
      <c r="E17" s="64">
        <v>0</v>
      </c>
      <c r="F17" s="59">
        <f>941+1</f>
        <v>942</v>
      </c>
      <c r="G17" s="63">
        <f t="shared" si="0"/>
        <v>942</v>
      </c>
      <c r="H17" s="124">
        <f>G17/G30</f>
        <v>3.4618352872000296E-2</v>
      </c>
    </row>
    <row r="18" spans="1:10" ht="15" customHeight="1">
      <c r="A18" s="270">
        <v>12</v>
      </c>
      <c r="B18" s="271" t="s">
        <v>81</v>
      </c>
      <c r="C18" s="260">
        <v>0</v>
      </c>
      <c r="D18" s="63">
        <v>4</v>
      </c>
      <c r="E18" s="64">
        <v>13</v>
      </c>
      <c r="F18" s="64">
        <v>293</v>
      </c>
      <c r="G18" s="63">
        <f t="shared" si="0"/>
        <v>310</v>
      </c>
      <c r="H18" s="124">
        <f>G18/G30</f>
        <v>1.1392451582080776E-2</v>
      </c>
      <c r="J18" s="177"/>
    </row>
    <row r="19" spans="1:10" ht="15" customHeight="1">
      <c r="A19" s="270">
        <v>13</v>
      </c>
      <c r="B19" s="271" t="s">
        <v>82</v>
      </c>
      <c r="C19" s="260">
        <v>0</v>
      </c>
      <c r="D19" s="63">
        <v>2</v>
      </c>
      <c r="E19" s="64">
        <v>0</v>
      </c>
      <c r="F19" s="64">
        <v>761</v>
      </c>
      <c r="G19" s="63">
        <f t="shared" si="0"/>
        <v>763</v>
      </c>
      <c r="H19" s="124">
        <f>G19/G30</f>
        <v>2.8040130829443975E-2</v>
      </c>
    </row>
    <row r="20" spans="1:10" ht="15" customHeight="1">
      <c r="A20" s="270">
        <v>14</v>
      </c>
      <c r="B20" s="271" t="s">
        <v>83</v>
      </c>
      <c r="C20" s="260">
        <v>0</v>
      </c>
      <c r="D20" s="63">
        <v>50</v>
      </c>
      <c r="E20" s="64">
        <v>70</v>
      </c>
      <c r="F20" s="64">
        <v>649</v>
      </c>
      <c r="G20" s="63">
        <f t="shared" si="0"/>
        <v>769</v>
      </c>
      <c r="H20" s="124">
        <f>G20/G30</f>
        <v>2.8260629892322957E-2</v>
      </c>
    </row>
    <row r="21" spans="1:10" ht="15" customHeight="1">
      <c r="A21" s="272">
        <v>15</v>
      </c>
      <c r="B21" s="271" t="s">
        <v>84</v>
      </c>
      <c r="C21" s="260">
        <v>0</v>
      </c>
      <c r="D21" s="63">
        <v>11</v>
      </c>
      <c r="E21" s="64">
        <v>0</v>
      </c>
      <c r="F21" s="64">
        <v>2044</v>
      </c>
      <c r="G21" s="63">
        <f t="shared" si="0"/>
        <v>2055</v>
      </c>
      <c r="H21" s="124">
        <f>G21/G30</f>
        <v>7.5520929036051593E-2</v>
      </c>
    </row>
    <row r="22" spans="1:10" ht="15" customHeight="1">
      <c r="A22" s="270">
        <v>16</v>
      </c>
      <c r="B22" s="271" t="s">
        <v>85</v>
      </c>
      <c r="C22" s="260">
        <v>0</v>
      </c>
      <c r="D22" s="63">
        <v>11</v>
      </c>
      <c r="E22" s="64">
        <v>1</v>
      </c>
      <c r="F22" s="64">
        <v>287</v>
      </c>
      <c r="G22" s="63">
        <f t="shared" si="0"/>
        <v>299</v>
      </c>
      <c r="H22" s="124">
        <f>G22/G30</f>
        <v>1.0988203300135974E-2</v>
      </c>
    </row>
    <row r="23" spans="1:10" ht="15" customHeight="1">
      <c r="A23" s="272">
        <v>17</v>
      </c>
      <c r="B23" s="271" t="s">
        <v>86</v>
      </c>
      <c r="C23" s="260">
        <v>0</v>
      </c>
      <c r="D23" s="63">
        <v>0</v>
      </c>
      <c r="E23" s="64">
        <v>1</v>
      </c>
      <c r="F23" s="64">
        <f>269+1</f>
        <v>270</v>
      </c>
      <c r="G23" s="63">
        <f t="shared" si="0"/>
        <v>271</v>
      </c>
      <c r="H23" s="124">
        <f>G23/G30</f>
        <v>9.9592076733673873E-3</v>
      </c>
    </row>
    <row r="24" spans="1:10" ht="15" customHeight="1">
      <c r="A24" s="270">
        <v>18</v>
      </c>
      <c r="B24" s="273" t="s">
        <v>87</v>
      </c>
      <c r="C24" s="260">
        <v>0</v>
      </c>
      <c r="D24" s="63">
        <v>43</v>
      </c>
      <c r="E24" s="64">
        <v>13</v>
      </c>
      <c r="F24" s="64">
        <v>400</v>
      </c>
      <c r="G24" s="63">
        <f t="shared" si="0"/>
        <v>456</v>
      </c>
      <c r="H24" s="124">
        <f>G24/G30</f>
        <v>1.6757928778802691E-2</v>
      </c>
    </row>
    <row r="25" spans="1:10" ht="15" customHeight="1">
      <c r="A25" s="270">
        <v>19</v>
      </c>
      <c r="B25" s="273" t="s">
        <v>88</v>
      </c>
      <c r="C25" s="260">
        <v>0</v>
      </c>
      <c r="D25" s="63">
        <v>15</v>
      </c>
      <c r="E25" s="64">
        <v>33</v>
      </c>
      <c r="F25" s="64">
        <v>412</v>
      </c>
      <c r="G25" s="63">
        <f t="shared" si="0"/>
        <v>460</v>
      </c>
      <c r="H25" s="124">
        <f>G25/G30</f>
        <v>1.6904928154055344E-2</v>
      </c>
    </row>
    <row r="26" spans="1:10" ht="36.75" customHeight="1">
      <c r="A26" s="272">
        <v>20</v>
      </c>
      <c r="B26" s="273" t="s">
        <v>89</v>
      </c>
      <c r="C26" s="260">
        <v>0</v>
      </c>
      <c r="D26" s="63">
        <v>0</v>
      </c>
      <c r="E26" s="64">
        <v>0</v>
      </c>
      <c r="F26" s="64">
        <v>36</v>
      </c>
      <c r="G26" s="63">
        <f t="shared" si="0"/>
        <v>36</v>
      </c>
      <c r="H26" s="124">
        <f>G26/G30</f>
        <v>1.3229943772738967E-3</v>
      </c>
    </row>
    <row r="27" spans="1:10" ht="15" customHeight="1">
      <c r="A27" s="270">
        <v>21</v>
      </c>
      <c r="B27" s="273" t="s">
        <v>90</v>
      </c>
      <c r="C27" s="260">
        <v>0</v>
      </c>
      <c r="D27" s="63">
        <v>0</v>
      </c>
      <c r="E27" s="64">
        <v>0</v>
      </c>
      <c r="F27" s="64">
        <v>16</v>
      </c>
      <c r="G27" s="63">
        <f t="shared" si="0"/>
        <v>16</v>
      </c>
      <c r="H27" s="124">
        <f>G27/G30</f>
        <v>5.8799750101062073E-4</v>
      </c>
    </row>
    <row r="28" spans="1:10" ht="15" customHeight="1">
      <c r="A28" s="270">
        <v>22</v>
      </c>
      <c r="B28" s="274" t="s">
        <v>91</v>
      </c>
      <c r="C28" s="260">
        <v>0</v>
      </c>
      <c r="D28" s="63">
        <v>5</v>
      </c>
      <c r="E28" s="64">
        <v>47</v>
      </c>
      <c r="F28" s="64">
        <f>1172+27</f>
        <v>1199</v>
      </c>
      <c r="G28" s="63">
        <f t="shared" si="0"/>
        <v>1251</v>
      </c>
      <c r="H28" s="124">
        <f>G28/G30</f>
        <v>4.5974054610267906E-2</v>
      </c>
    </row>
    <row r="29" spans="1:10" ht="15" customHeight="1">
      <c r="A29" s="270">
        <v>23</v>
      </c>
      <c r="B29" s="274" t="s">
        <v>92</v>
      </c>
      <c r="C29" s="260">
        <v>0</v>
      </c>
      <c r="D29" s="63">
        <v>0</v>
      </c>
      <c r="E29" s="64">
        <v>0</v>
      </c>
      <c r="F29" s="64">
        <v>0</v>
      </c>
      <c r="G29" s="63">
        <f t="shared" si="0"/>
        <v>0</v>
      </c>
      <c r="H29" s="124">
        <f>G29/G30</f>
        <v>0</v>
      </c>
    </row>
    <row r="30" spans="1:10" ht="15" customHeight="1" thickBot="1">
      <c r="A30" s="275"/>
      <c r="B30" s="276" t="s">
        <v>6</v>
      </c>
      <c r="C30" s="262">
        <f>SUM(C7:C29)</f>
        <v>59</v>
      </c>
      <c r="D30" s="262">
        <f>SUM(D7:D29)</f>
        <v>3931</v>
      </c>
      <c r="E30" s="262">
        <f>SUM(E7:E29)</f>
        <v>5830</v>
      </c>
      <c r="F30" s="262">
        <f>SUM(F7:F29)</f>
        <v>17391</v>
      </c>
      <c r="G30" s="262">
        <f>SUM(G7:G29)</f>
        <v>27211</v>
      </c>
      <c r="H30" s="263">
        <f>G30/G30</f>
        <v>1</v>
      </c>
    </row>
    <row r="31" spans="1:10">
      <c r="A31" s="74"/>
      <c r="B31" s="75"/>
      <c r="C31" s="76"/>
      <c r="D31" s="76"/>
      <c r="E31" s="76"/>
      <c r="F31" s="76"/>
      <c r="G31" s="76"/>
    </row>
    <row r="32" spans="1:10">
      <c r="A32" s="30" t="s">
        <v>133</v>
      </c>
      <c r="B32" s="30"/>
      <c r="C32" s="30"/>
      <c r="D32" s="30"/>
      <c r="E32" s="30"/>
      <c r="F32" s="30"/>
      <c r="G32" s="77" t="s">
        <v>12</v>
      </c>
      <c r="H32" s="30"/>
    </row>
    <row r="33" spans="1:8">
      <c r="A33" s="466">
        <v>42814</v>
      </c>
      <c r="B33" s="466"/>
      <c r="C33" s="30"/>
      <c r="D33" s="30"/>
      <c r="E33" s="30"/>
      <c r="F33" s="30"/>
      <c r="G33" s="77" t="s">
        <v>93</v>
      </c>
      <c r="H33" s="30"/>
    </row>
  </sheetData>
  <mergeCells count="8">
    <mergeCell ref="A3:C3"/>
    <mergeCell ref="A2:H2"/>
    <mergeCell ref="H5:H6"/>
    <mergeCell ref="C4:H4"/>
    <mergeCell ref="A33:B33"/>
    <mergeCell ref="C5:D5"/>
    <mergeCell ref="E5:F5"/>
    <mergeCell ref="G5:G6"/>
  </mergeCells>
  <pageMargins left="0.31496062992125984" right="0.31496062992125984" top="0.35433070866141736" bottom="0.35433070866141736" header="0.31496062992125984" footer="0.31496062992125984"/>
  <pageSetup paperSize="9" scale="9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topLeftCell="A10" workbookViewId="0">
      <selection activeCell="K18" sqref="K18"/>
    </sheetView>
  </sheetViews>
  <sheetFormatPr defaultRowHeight="12.75"/>
  <cols>
    <col min="1" max="1" width="5.5703125" customWidth="1"/>
    <col min="2" max="2" width="61.28515625" customWidth="1"/>
    <col min="3" max="3" width="12.42578125" customWidth="1"/>
    <col min="4" max="4" width="11.7109375" customWidth="1"/>
    <col min="5" max="5" width="12" customWidth="1"/>
    <col min="6" max="6" width="11.42578125" customWidth="1"/>
    <col min="7" max="7" width="12.7109375" customWidth="1"/>
    <col min="8" max="8" width="10.42578125" customWidth="1"/>
  </cols>
  <sheetData>
    <row r="1" spans="1:8">
      <c r="A1" s="122" t="s">
        <v>108</v>
      </c>
    </row>
    <row r="2" spans="1:8" ht="27" customHeight="1">
      <c r="A2" s="462" t="s">
        <v>134</v>
      </c>
      <c r="B2" s="462"/>
      <c r="C2" s="462"/>
      <c r="D2" s="462"/>
      <c r="E2" s="462"/>
      <c r="F2" s="462"/>
      <c r="G2" s="462"/>
      <c r="H2" s="462"/>
    </row>
    <row r="3" spans="1:8" ht="9" customHeight="1" thickBot="1">
      <c r="A3" s="461"/>
      <c r="B3" s="461"/>
      <c r="C3" s="461"/>
    </row>
    <row r="4" spans="1:8" ht="15" customHeight="1">
      <c r="A4" s="264"/>
      <c r="B4" s="265"/>
      <c r="C4" s="464" t="s">
        <v>62</v>
      </c>
      <c r="D4" s="464"/>
      <c r="E4" s="464"/>
      <c r="F4" s="464"/>
      <c r="G4" s="464"/>
      <c r="H4" s="470" t="s">
        <v>96</v>
      </c>
    </row>
    <row r="5" spans="1:8" ht="15" customHeight="1">
      <c r="A5" s="266" t="s">
        <v>63</v>
      </c>
      <c r="B5" s="267" t="s">
        <v>64</v>
      </c>
      <c r="C5" s="467" t="s">
        <v>65</v>
      </c>
      <c r="D5" s="467"/>
      <c r="E5" s="468" t="s">
        <v>66</v>
      </c>
      <c r="F5" s="468"/>
      <c r="G5" s="469" t="s">
        <v>6</v>
      </c>
      <c r="H5" s="471"/>
    </row>
    <row r="6" spans="1:8" ht="22.5" customHeight="1">
      <c r="A6" s="205"/>
      <c r="B6" s="206"/>
      <c r="C6" s="268" t="s">
        <v>67</v>
      </c>
      <c r="D6" s="269" t="s">
        <v>68</v>
      </c>
      <c r="E6" s="269" t="s">
        <v>68</v>
      </c>
      <c r="F6" s="269" t="s">
        <v>69</v>
      </c>
      <c r="G6" s="469"/>
      <c r="H6" s="471"/>
    </row>
    <row r="7" spans="1:8" ht="15" customHeight="1">
      <c r="A7" s="270">
        <v>1</v>
      </c>
      <c r="B7" s="271" t="s">
        <v>70</v>
      </c>
      <c r="C7" s="260">
        <v>0</v>
      </c>
      <c r="D7" s="260">
        <v>0</v>
      </c>
      <c r="E7" s="64">
        <v>1</v>
      </c>
      <c r="F7" s="64">
        <v>96</v>
      </c>
      <c r="G7" s="63">
        <f>C7+D7+E7+F7</f>
        <v>97</v>
      </c>
      <c r="H7" s="83">
        <f>G7/G30</f>
        <v>3.6697941888619856E-3</v>
      </c>
    </row>
    <row r="8" spans="1:8" ht="15" customHeight="1">
      <c r="A8" s="270">
        <v>2</v>
      </c>
      <c r="B8" s="271" t="s">
        <v>71</v>
      </c>
      <c r="C8" s="260">
        <v>0</v>
      </c>
      <c r="D8" s="261">
        <v>0</v>
      </c>
      <c r="E8" s="64">
        <v>0</v>
      </c>
      <c r="F8" s="279">
        <v>20</v>
      </c>
      <c r="G8" s="63">
        <f t="shared" ref="G8:G29" si="0">C8+D8+E8+F8</f>
        <v>20</v>
      </c>
      <c r="H8" s="83">
        <f>G8/G30</f>
        <v>7.5665859564164647E-4</v>
      </c>
    </row>
    <row r="9" spans="1:8" ht="15" customHeight="1">
      <c r="A9" s="270">
        <v>3</v>
      </c>
      <c r="B9" s="271" t="s">
        <v>72</v>
      </c>
      <c r="C9" s="260">
        <v>47</v>
      </c>
      <c r="D9" s="260">
        <v>0</v>
      </c>
      <c r="E9" s="64">
        <v>4</v>
      </c>
      <c r="F9" s="279">
        <v>1041</v>
      </c>
      <c r="G9" s="63">
        <f t="shared" si="0"/>
        <v>1092</v>
      </c>
      <c r="H9" s="83">
        <f>G9/G30</f>
        <v>4.1313559322033899E-2</v>
      </c>
    </row>
    <row r="10" spans="1:8" ht="15.75" customHeight="1">
      <c r="A10" s="270">
        <v>4</v>
      </c>
      <c r="B10" s="271" t="s">
        <v>73</v>
      </c>
      <c r="C10" s="261">
        <v>0</v>
      </c>
      <c r="D10" s="261">
        <v>0</v>
      </c>
      <c r="E10" s="67">
        <v>0</v>
      </c>
      <c r="F10" s="59">
        <v>5</v>
      </c>
      <c r="G10" s="63">
        <f t="shared" si="0"/>
        <v>5</v>
      </c>
      <c r="H10" s="83">
        <f>G10/G30</f>
        <v>1.8916464891041162E-4</v>
      </c>
    </row>
    <row r="11" spans="1:8" ht="24.75" customHeight="1">
      <c r="A11" s="270">
        <v>5</v>
      </c>
      <c r="B11" s="271" t="s">
        <v>74</v>
      </c>
      <c r="C11" s="260">
        <v>0</v>
      </c>
      <c r="D11" s="261">
        <v>0</v>
      </c>
      <c r="E11" s="64">
        <v>0</v>
      </c>
      <c r="F11" s="64">
        <v>7</v>
      </c>
      <c r="G11" s="63">
        <f t="shared" si="0"/>
        <v>7</v>
      </c>
      <c r="H11" s="83">
        <f>G11/G30</f>
        <v>2.6483050847457627E-4</v>
      </c>
    </row>
    <row r="12" spans="1:8" ht="15" customHeight="1">
      <c r="A12" s="270">
        <v>6</v>
      </c>
      <c r="B12" s="277" t="s">
        <v>75</v>
      </c>
      <c r="C12" s="261">
        <v>0</v>
      </c>
      <c r="D12" s="261">
        <v>1</v>
      </c>
      <c r="E12" s="67">
        <v>8</v>
      </c>
      <c r="F12" s="308">
        <v>714</v>
      </c>
      <c r="G12" s="66">
        <f t="shared" si="0"/>
        <v>723</v>
      </c>
      <c r="H12" s="84">
        <f>G12/G30</f>
        <v>2.7353208232445522E-2</v>
      </c>
    </row>
    <row r="13" spans="1:8" ht="25.5" customHeight="1">
      <c r="A13" s="270">
        <v>7</v>
      </c>
      <c r="B13" s="277" t="s">
        <v>76</v>
      </c>
      <c r="C13" s="261">
        <v>0</v>
      </c>
      <c r="D13" s="261">
        <v>223</v>
      </c>
      <c r="E13" s="67">
        <v>51</v>
      </c>
      <c r="F13" s="308">
        <v>3473</v>
      </c>
      <c r="G13" s="66">
        <f t="shared" si="0"/>
        <v>3747</v>
      </c>
      <c r="H13" s="84">
        <f>G13/G30</f>
        <v>0.14175998789346247</v>
      </c>
    </row>
    <row r="14" spans="1:8" ht="15" customHeight="1">
      <c r="A14" s="270">
        <v>8</v>
      </c>
      <c r="B14" s="271" t="s">
        <v>77</v>
      </c>
      <c r="C14" s="261">
        <v>0</v>
      </c>
      <c r="D14" s="260">
        <v>32</v>
      </c>
      <c r="E14" s="58">
        <v>7</v>
      </c>
      <c r="F14" s="309">
        <v>983</v>
      </c>
      <c r="G14" s="63">
        <f t="shared" si="0"/>
        <v>1022</v>
      </c>
      <c r="H14" s="83">
        <f>G14/G30</f>
        <v>3.8665254237288137E-2</v>
      </c>
    </row>
    <row r="15" spans="1:8" ht="24.75" customHeight="1">
      <c r="A15" s="270">
        <v>9</v>
      </c>
      <c r="B15" s="277" t="s">
        <v>78</v>
      </c>
      <c r="C15" s="261">
        <v>0</v>
      </c>
      <c r="D15" s="260">
        <v>3505</v>
      </c>
      <c r="E15" s="67">
        <v>5365</v>
      </c>
      <c r="F15" s="308">
        <f>3300+15</f>
        <v>3315</v>
      </c>
      <c r="G15" s="66">
        <f t="shared" si="0"/>
        <v>12185</v>
      </c>
      <c r="H15" s="84">
        <f>G15/G30</f>
        <v>0.46099424939467315</v>
      </c>
    </row>
    <row r="16" spans="1:8" ht="15" customHeight="1">
      <c r="A16" s="270">
        <v>10</v>
      </c>
      <c r="B16" s="271" t="s">
        <v>79</v>
      </c>
      <c r="C16" s="260">
        <v>0</v>
      </c>
      <c r="D16" s="260">
        <v>0</v>
      </c>
      <c r="E16" s="64">
        <v>0</v>
      </c>
      <c r="F16" s="64">
        <v>269</v>
      </c>
      <c r="G16" s="63">
        <f t="shared" si="0"/>
        <v>269</v>
      </c>
      <c r="H16" s="83">
        <f>G16/G30</f>
        <v>1.0177058111380146E-2</v>
      </c>
    </row>
    <row r="17" spans="1:8" ht="15" customHeight="1">
      <c r="A17" s="270">
        <v>11</v>
      </c>
      <c r="B17" s="271" t="s">
        <v>80</v>
      </c>
      <c r="C17" s="260">
        <v>0</v>
      </c>
      <c r="D17" s="260">
        <v>0</v>
      </c>
      <c r="E17" s="64">
        <v>0</v>
      </c>
      <c r="F17" s="309">
        <f>897+1</f>
        <v>898</v>
      </c>
      <c r="G17" s="63">
        <f t="shared" si="0"/>
        <v>898</v>
      </c>
      <c r="H17" s="83">
        <f>G17/G30</f>
        <v>3.3973970944309928E-2</v>
      </c>
    </row>
    <row r="18" spans="1:8" ht="15" customHeight="1">
      <c r="A18" s="270">
        <v>12</v>
      </c>
      <c r="B18" s="271" t="s">
        <v>81</v>
      </c>
      <c r="C18" s="260">
        <v>0</v>
      </c>
      <c r="D18" s="260">
        <v>4</v>
      </c>
      <c r="E18" s="64">
        <v>11</v>
      </c>
      <c r="F18" s="64">
        <v>278</v>
      </c>
      <c r="G18" s="63">
        <f t="shared" si="0"/>
        <v>293</v>
      </c>
      <c r="H18" s="83">
        <f>G18/G30</f>
        <v>1.1085048426150121E-2</v>
      </c>
    </row>
    <row r="19" spans="1:8" ht="15" customHeight="1">
      <c r="A19" s="270">
        <v>13</v>
      </c>
      <c r="B19" s="271" t="s">
        <v>82</v>
      </c>
      <c r="C19" s="260">
        <v>0</v>
      </c>
      <c r="D19" s="260">
        <v>1</v>
      </c>
      <c r="E19" s="64">
        <v>0</v>
      </c>
      <c r="F19" s="64">
        <f>723+1</f>
        <v>724</v>
      </c>
      <c r="G19" s="63">
        <f t="shared" si="0"/>
        <v>725</v>
      </c>
      <c r="H19" s="83">
        <f>G19/G30</f>
        <v>2.7428874092009684E-2</v>
      </c>
    </row>
    <row r="20" spans="1:8" ht="15" customHeight="1">
      <c r="A20" s="270">
        <v>14</v>
      </c>
      <c r="B20" s="271" t="s">
        <v>83</v>
      </c>
      <c r="C20" s="260">
        <v>0</v>
      </c>
      <c r="D20" s="260">
        <v>51</v>
      </c>
      <c r="E20" s="64">
        <v>67</v>
      </c>
      <c r="F20" s="279">
        <v>618</v>
      </c>
      <c r="G20" s="63">
        <f t="shared" si="0"/>
        <v>736</v>
      </c>
      <c r="H20" s="83">
        <f>G20/G30</f>
        <v>2.784503631961259E-2</v>
      </c>
    </row>
    <row r="21" spans="1:8" ht="15" customHeight="1">
      <c r="A21" s="272">
        <v>15</v>
      </c>
      <c r="B21" s="271" t="s">
        <v>84</v>
      </c>
      <c r="C21" s="260">
        <v>0</v>
      </c>
      <c r="D21" s="260">
        <v>11</v>
      </c>
      <c r="E21" s="64">
        <v>1</v>
      </c>
      <c r="F21" s="279">
        <v>1890</v>
      </c>
      <c r="G21" s="63">
        <f t="shared" si="0"/>
        <v>1902</v>
      </c>
      <c r="H21" s="83">
        <f>G21/G30</f>
        <v>7.1958232445520576E-2</v>
      </c>
    </row>
    <row r="22" spans="1:8" ht="15" customHeight="1">
      <c r="A22" s="270">
        <v>16</v>
      </c>
      <c r="B22" s="271" t="s">
        <v>85</v>
      </c>
      <c r="C22" s="260">
        <v>0</v>
      </c>
      <c r="D22" s="260">
        <v>11</v>
      </c>
      <c r="E22" s="64">
        <v>1</v>
      </c>
      <c r="F22" s="64">
        <v>247</v>
      </c>
      <c r="G22" s="63">
        <f t="shared" si="0"/>
        <v>259</v>
      </c>
      <c r="H22" s="83">
        <f>G22/G30</f>
        <v>9.7987288135593219E-3</v>
      </c>
    </row>
    <row r="23" spans="1:8" ht="24" customHeight="1">
      <c r="A23" s="272">
        <v>17</v>
      </c>
      <c r="B23" s="271" t="s">
        <v>86</v>
      </c>
      <c r="C23" s="260">
        <v>0</v>
      </c>
      <c r="D23" s="260">
        <v>0</v>
      </c>
      <c r="E23" s="64">
        <v>1</v>
      </c>
      <c r="F23" s="64">
        <f>278+1</f>
        <v>279</v>
      </c>
      <c r="G23" s="63">
        <f t="shared" si="0"/>
        <v>280</v>
      </c>
      <c r="H23" s="83">
        <f>G23/G30</f>
        <v>1.059322033898305E-2</v>
      </c>
    </row>
    <row r="24" spans="1:8" ht="15" customHeight="1">
      <c r="A24" s="270">
        <v>18</v>
      </c>
      <c r="B24" s="273" t="s">
        <v>87</v>
      </c>
      <c r="C24" s="260">
        <v>0</v>
      </c>
      <c r="D24" s="260">
        <v>44</v>
      </c>
      <c r="E24" s="64">
        <v>12</v>
      </c>
      <c r="F24" s="279">
        <v>370</v>
      </c>
      <c r="G24" s="63">
        <f t="shared" si="0"/>
        <v>426</v>
      </c>
      <c r="H24" s="83">
        <f>G24/G30</f>
        <v>1.6116828087167072E-2</v>
      </c>
    </row>
    <row r="25" spans="1:8" ht="15" customHeight="1">
      <c r="A25" s="270">
        <v>19</v>
      </c>
      <c r="B25" s="273" t="s">
        <v>88</v>
      </c>
      <c r="C25" s="260">
        <v>0</v>
      </c>
      <c r="D25" s="260">
        <v>21</v>
      </c>
      <c r="E25" s="64">
        <v>29</v>
      </c>
      <c r="F25" s="64">
        <v>401</v>
      </c>
      <c r="G25" s="63">
        <f t="shared" si="0"/>
        <v>451</v>
      </c>
      <c r="H25" s="83">
        <f>G25/G30</f>
        <v>1.7062651331719129E-2</v>
      </c>
    </row>
    <row r="26" spans="1:8" ht="39" customHeight="1">
      <c r="A26" s="272">
        <v>20</v>
      </c>
      <c r="B26" s="273" t="s">
        <v>89</v>
      </c>
      <c r="C26" s="260">
        <v>0</v>
      </c>
      <c r="D26" s="260">
        <v>0</v>
      </c>
      <c r="E26" s="64">
        <v>0</v>
      </c>
      <c r="F26" s="279">
        <v>36</v>
      </c>
      <c r="G26" s="63">
        <f t="shared" si="0"/>
        <v>36</v>
      </c>
      <c r="H26" s="83">
        <f>G26/G30</f>
        <v>1.3619854721549636E-3</v>
      </c>
    </row>
    <row r="27" spans="1:8" ht="15" customHeight="1">
      <c r="A27" s="270">
        <v>21</v>
      </c>
      <c r="B27" s="273" t="s">
        <v>90</v>
      </c>
      <c r="C27" s="260">
        <v>0</v>
      </c>
      <c r="D27" s="260">
        <v>0</v>
      </c>
      <c r="E27" s="64">
        <v>0</v>
      </c>
      <c r="F27" s="64">
        <v>14</v>
      </c>
      <c r="G27" s="63">
        <f t="shared" si="0"/>
        <v>14</v>
      </c>
      <c r="H27" s="83">
        <f>G27/G30</f>
        <v>5.2966101694915254E-4</v>
      </c>
    </row>
    <row r="28" spans="1:8" ht="15" customHeight="1">
      <c r="A28" s="270">
        <v>22</v>
      </c>
      <c r="B28" s="274" t="s">
        <v>91</v>
      </c>
      <c r="C28" s="260">
        <v>0</v>
      </c>
      <c r="D28" s="260">
        <v>4</v>
      </c>
      <c r="E28" s="64">
        <v>49</v>
      </c>
      <c r="F28" s="279">
        <f>1164+27</f>
        <v>1191</v>
      </c>
      <c r="G28" s="63">
        <f t="shared" si="0"/>
        <v>1244</v>
      </c>
      <c r="H28" s="83">
        <f>G28/G30</f>
        <v>4.706416464891041E-2</v>
      </c>
    </row>
    <row r="29" spans="1:8" ht="15" customHeight="1">
      <c r="A29" s="270">
        <v>23</v>
      </c>
      <c r="B29" s="274" t="s">
        <v>92</v>
      </c>
      <c r="C29" s="260">
        <v>0</v>
      </c>
      <c r="D29" s="260">
        <v>0</v>
      </c>
      <c r="E29" s="64">
        <v>0</v>
      </c>
      <c r="F29" s="64">
        <v>1</v>
      </c>
      <c r="G29" s="63">
        <f t="shared" si="0"/>
        <v>1</v>
      </c>
      <c r="H29" s="83">
        <f>G29/G30</f>
        <v>3.7832929782082326E-5</v>
      </c>
    </row>
    <row r="30" spans="1:8" ht="15" customHeight="1" thickBot="1">
      <c r="A30" s="275"/>
      <c r="B30" s="276" t="s">
        <v>6</v>
      </c>
      <c r="C30" s="262">
        <f t="shared" ref="C30:H30" si="1">SUM(C7:C29)</f>
        <v>47</v>
      </c>
      <c r="D30" s="262">
        <f t="shared" si="1"/>
        <v>3908</v>
      </c>
      <c r="E30" s="262">
        <f t="shared" si="1"/>
        <v>5607</v>
      </c>
      <c r="F30" s="262">
        <f t="shared" si="1"/>
        <v>16870</v>
      </c>
      <c r="G30" s="262">
        <f t="shared" si="1"/>
        <v>26432</v>
      </c>
      <c r="H30" s="278">
        <f t="shared" si="1"/>
        <v>1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" t="s">
        <v>133</v>
      </c>
      <c r="B32" s="30"/>
      <c r="C32" s="30"/>
      <c r="D32" s="30"/>
      <c r="E32" s="30"/>
      <c r="F32" s="77" t="s">
        <v>12</v>
      </c>
      <c r="G32" s="30"/>
    </row>
    <row r="33" spans="1:7">
      <c r="A33" s="466">
        <v>42845</v>
      </c>
      <c r="B33" s="466"/>
      <c r="C33" s="30"/>
      <c r="D33" s="30"/>
      <c r="E33" s="30"/>
      <c r="F33" s="77" t="s">
        <v>93</v>
      </c>
      <c r="G33" s="30"/>
    </row>
    <row r="37" spans="1:7">
      <c r="D37" s="177"/>
    </row>
  </sheetData>
  <mergeCells count="8">
    <mergeCell ref="A33:B33"/>
    <mergeCell ref="H4:H6"/>
    <mergeCell ref="A2:H2"/>
    <mergeCell ref="A3:C3"/>
    <mergeCell ref="C4:G4"/>
    <mergeCell ref="C5:D5"/>
    <mergeCell ref="E5:F5"/>
    <mergeCell ref="G5:G6"/>
  </mergeCells>
  <pageMargins left="0.31496062992125984" right="0.19685039370078741" top="0.35433070866141736" bottom="0.35433070866141736" header="0.31496062992125984" footer="0.31496062992125984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J13" sqref="J13"/>
    </sheetView>
  </sheetViews>
  <sheetFormatPr defaultRowHeight="12.75"/>
  <cols>
    <col min="1" max="1" width="4.85546875" customWidth="1"/>
    <col min="2" max="2" width="47.140625" customWidth="1"/>
    <col min="3" max="8" width="12.7109375" customWidth="1"/>
    <col min="10" max="10" width="14.5703125" bestFit="1" customWidth="1"/>
  </cols>
  <sheetData>
    <row r="1" spans="1:10">
      <c r="A1" s="122" t="s">
        <v>109</v>
      </c>
    </row>
    <row r="2" spans="1:10" ht="28.5" customHeight="1">
      <c r="A2" s="462" t="s">
        <v>135</v>
      </c>
      <c r="B2" s="462"/>
      <c r="C2" s="462"/>
      <c r="D2" s="462"/>
      <c r="E2" s="462"/>
      <c r="F2" s="462"/>
      <c r="G2" s="462"/>
      <c r="H2" s="462"/>
    </row>
    <row r="3" spans="1:10" ht="7.5" customHeight="1" thickBot="1">
      <c r="A3" s="461"/>
      <c r="B3" s="461"/>
      <c r="C3" s="461"/>
    </row>
    <row r="4" spans="1:10" ht="15" customHeight="1">
      <c r="A4" s="264"/>
      <c r="B4" s="265"/>
      <c r="C4" s="464" t="s">
        <v>62</v>
      </c>
      <c r="D4" s="464"/>
      <c r="E4" s="464"/>
      <c r="F4" s="464"/>
      <c r="G4" s="464"/>
      <c r="H4" s="470" t="s">
        <v>96</v>
      </c>
    </row>
    <row r="5" spans="1:10" ht="15" customHeight="1">
      <c r="A5" s="266" t="s">
        <v>63</v>
      </c>
      <c r="B5" s="267" t="s">
        <v>64</v>
      </c>
      <c r="C5" s="467" t="s">
        <v>65</v>
      </c>
      <c r="D5" s="467"/>
      <c r="E5" s="468" t="s">
        <v>66</v>
      </c>
      <c r="F5" s="468"/>
      <c r="G5" s="469" t="s">
        <v>6</v>
      </c>
      <c r="H5" s="471"/>
    </row>
    <row r="6" spans="1:10" ht="25.5" customHeight="1">
      <c r="A6" s="205"/>
      <c r="B6" s="206"/>
      <c r="C6" s="269" t="s">
        <v>67</v>
      </c>
      <c r="D6" s="269" t="s">
        <v>68</v>
      </c>
      <c r="E6" s="269" t="s">
        <v>68</v>
      </c>
      <c r="F6" s="269" t="s">
        <v>69</v>
      </c>
      <c r="G6" s="469"/>
      <c r="H6" s="471"/>
    </row>
    <row r="7" spans="1:10" ht="15" customHeight="1">
      <c r="A7" s="270">
        <v>1</v>
      </c>
      <c r="B7" s="271" t="s">
        <v>70</v>
      </c>
      <c r="C7" s="260">
        <v>0</v>
      </c>
      <c r="D7" s="260">
        <v>0</v>
      </c>
      <c r="E7" s="64">
        <v>1</v>
      </c>
      <c r="F7" s="64">
        <v>98</v>
      </c>
      <c r="G7" s="63">
        <f>C7+D7+E7+F7</f>
        <v>99</v>
      </c>
      <c r="H7" s="83">
        <f>G7/G30</f>
        <v>4.0507364975450079E-3</v>
      </c>
      <c r="J7" s="340"/>
    </row>
    <row r="8" spans="1:10" ht="15" customHeight="1">
      <c r="A8" s="270">
        <v>2</v>
      </c>
      <c r="B8" s="271" t="s">
        <v>71</v>
      </c>
      <c r="C8" s="260">
        <v>0</v>
      </c>
      <c r="D8" s="260">
        <v>0</v>
      </c>
      <c r="E8" s="64">
        <v>0</v>
      </c>
      <c r="F8" s="64">
        <v>20</v>
      </c>
      <c r="G8" s="63">
        <f t="shared" ref="G8:G29" si="0">C8+D8+E8+F8</f>
        <v>20</v>
      </c>
      <c r="H8" s="83">
        <f>G8/G30</f>
        <v>8.1833060556464816E-4</v>
      </c>
    </row>
    <row r="9" spans="1:10" ht="15" customHeight="1">
      <c r="A9" s="270">
        <v>3</v>
      </c>
      <c r="B9" s="271" t="s">
        <v>72</v>
      </c>
      <c r="C9" s="260">
        <v>26</v>
      </c>
      <c r="D9" s="63">
        <v>0</v>
      </c>
      <c r="E9" s="64">
        <v>2</v>
      </c>
      <c r="F9" s="64">
        <v>1049</v>
      </c>
      <c r="G9" s="63">
        <f t="shared" si="0"/>
        <v>1077</v>
      </c>
      <c r="H9" s="83">
        <f>G9/G30</f>
        <v>4.4067103109656301E-2</v>
      </c>
    </row>
    <row r="10" spans="1:10" ht="14.25" customHeight="1">
      <c r="A10" s="270">
        <v>4</v>
      </c>
      <c r="B10" s="271" t="s">
        <v>73</v>
      </c>
      <c r="C10" s="261">
        <v>0</v>
      </c>
      <c r="D10" s="261">
        <v>0</v>
      </c>
      <c r="E10" s="67">
        <v>0</v>
      </c>
      <c r="F10" s="59">
        <v>5</v>
      </c>
      <c r="G10" s="63">
        <f t="shared" si="0"/>
        <v>5</v>
      </c>
      <c r="H10" s="83">
        <f>G10/G30</f>
        <v>2.0458265139116204E-4</v>
      </c>
    </row>
    <row r="11" spans="1:10" ht="27.75" customHeight="1">
      <c r="A11" s="270">
        <v>5</v>
      </c>
      <c r="B11" s="271" t="s">
        <v>74</v>
      </c>
      <c r="C11" s="260">
        <v>0</v>
      </c>
      <c r="D11" s="260">
        <v>0</v>
      </c>
      <c r="E11" s="64">
        <v>0</v>
      </c>
      <c r="F11" s="64">
        <v>7</v>
      </c>
      <c r="G11" s="63">
        <f t="shared" si="0"/>
        <v>7</v>
      </c>
      <c r="H11" s="83">
        <f>G11/G30</f>
        <v>2.8641571194762682E-4</v>
      </c>
    </row>
    <row r="12" spans="1:10" ht="15" customHeight="1">
      <c r="A12" s="270">
        <v>6</v>
      </c>
      <c r="B12" s="277" t="s">
        <v>75</v>
      </c>
      <c r="C12" s="261">
        <v>0</v>
      </c>
      <c r="D12" s="261">
        <v>1</v>
      </c>
      <c r="E12" s="67">
        <v>7</v>
      </c>
      <c r="F12" s="67">
        <v>700</v>
      </c>
      <c r="G12" s="66">
        <f t="shared" si="0"/>
        <v>708</v>
      </c>
      <c r="H12" s="84">
        <f>G12/G30</f>
        <v>2.8968903436988543E-2</v>
      </c>
    </row>
    <row r="13" spans="1:10" ht="27.75" customHeight="1">
      <c r="A13" s="270">
        <v>7</v>
      </c>
      <c r="B13" s="277" t="s">
        <v>76</v>
      </c>
      <c r="C13" s="261">
        <v>0</v>
      </c>
      <c r="D13" s="261">
        <v>214</v>
      </c>
      <c r="E13" s="67">
        <v>43</v>
      </c>
      <c r="F13" s="67">
        <v>3515</v>
      </c>
      <c r="G13" s="66">
        <f t="shared" si="0"/>
        <v>3772</v>
      </c>
      <c r="H13" s="84">
        <f>G13/G30</f>
        <v>0.15433715220949262</v>
      </c>
    </row>
    <row r="14" spans="1:10" ht="15" customHeight="1">
      <c r="A14" s="270">
        <v>8</v>
      </c>
      <c r="B14" s="271" t="s">
        <v>77</v>
      </c>
      <c r="C14" s="261">
        <v>0</v>
      </c>
      <c r="D14" s="261">
        <v>31</v>
      </c>
      <c r="E14" s="58">
        <v>6</v>
      </c>
      <c r="F14" s="59">
        <v>924</v>
      </c>
      <c r="G14" s="63">
        <f t="shared" si="0"/>
        <v>961</v>
      </c>
      <c r="H14" s="83">
        <f>G14/G30</f>
        <v>3.9320785597381343E-2</v>
      </c>
    </row>
    <row r="15" spans="1:10" ht="25.5" customHeight="1">
      <c r="A15" s="270">
        <v>9</v>
      </c>
      <c r="B15" s="277" t="s">
        <v>78</v>
      </c>
      <c r="C15" s="261">
        <v>0</v>
      </c>
      <c r="D15" s="261">
        <v>2486</v>
      </c>
      <c r="E15" s="67">
        <v>4823</v>
      </c>
      <c r="F15" s="67">
        <f>3115+11</f>
        <v>3126</v>
      </c>
      <c r="G15" s="66">
        <f t="shared" si="0"/>
        <v>10435</v>
      </c>
      <c r="H15" s="84">
        <f>G15/G30</f>
        <v>0.42696399345335517</v>
      </c>
    </row>
    <row r="16" spans="1:10" ht="15" customHeight="1">
      <c r="A16" s="270">
        <v>10</v>
      </c>
      <c r="B16" s="271" t="s">
        <v>79</v>
      </c>
      <c r="C16" s="260">
        <v>0</v>
      </c>
      <c r="D16" s="260">
        <v>0</v>
      </c>
      <c r="E16" s="64">
        <v>0</v>
      </c>
      <c r="F16" s="64">
        <v>276</v>
      </c>
      <c r="G16" s="63">
        <f t="shared" si="0"/>
        <v>276</v>
      </c>
      <c r="H16" s="83">
        <f>G16/G30</f>
        <v>1.1292962356792145E-2</v>
      </c>
    </row>
    <row r="17" spans="1:8" ht="15" customHeight="1">
      <c r="A17" s="270">
        <v>11</v>
      </c>
      <c r="B17" s="271" t="s">
        <v>80</v>
      </c>
      <c r="C17" s="260">
        <v>0</v>
      </c>
      <c r="D17" s="260">
        <v>0</v>
      </c>
      <c r="E17" s="64">
        <v>0</v>
      </c>
      <c r="F17" s="59">
        <f>872+1</f>
        <v>873</v>
      </c>
      <c r="G17" s="63">
        <f t="shared" si="0"/>
        <v>873</v>
      </c>
      <c r="H17" s="83">
        <f>G17/G30</f>
        <v>3.5720130932896887E-2</v>
      </c>
    </row>
    <row r="18" spans="1:8" ht="15" customHeight="1">
      <c r="A18" s="270">
        <v>12</v>
      </c>
      <c r="B18" s="271" t="s">
        <v>81</v>
      </c>
      <c r="C18" s="260">
        <v>0</v>
      </c>
      <c r="D18" s="260">
        <v>0</v>
      </c>
      <c r="E18" s="64">
        <v>10</v>
      </c>
      <c r="F18" s="64">
        <v>273</v>
      </c>
      <c r="G18" s="63">
        <f t="shared" si="0"/>
        <v>283</v>
      </c>
      <c r="H18" s="83">
        <f>G18/G30</f>
        <v>1.157937806873977E-2</v>
      </c>
    </row>
    <row r="19" spans="1:8" ht="15" customHeight="1">
      <c r="A19" s="270">
        <v>13</v>
      </c>
      <c r="B19" s="271" t="s">
        <v>82</v>
      </c>
      <c r="C19" s="260">
        <v>0</v>
      </c>
      <c r="D19" s="260">
        <v>1</v>
      </c>
      <c r="E19" s="64">
        <v>0</v>
      </c>
      <c r="F19" s="64">
        <f>744+1</f>
        <v>745</v>
      </c>
      <c r="G19" s="63">
        <f t="shared" si="0"/>
        <v>746</v>
      </c>
      <c r="H19" s="83">
        <f>G19/G30</f>
        <v>3.0523731587561376E-2</v>
      </c>
    </row>
    <row r="20" spans="1:8" ht="15" customHeight="1">
      <c r="A20" s="270">
        <v>14</v>
      </c>
      <c r="B20" s="271" t="s">
        <v>83</v>
      </c>
      <c r="C20" s="260">
        <v>0</v>
      </c>
      <c r="D20" s="260">
        <v>50</v>
      </c>
      <c r="E20" s="64">
        <v>34</v>
      </c>
      <c r="F20" s="64">
        <v>602</v>
      </c>
      <c r="G20" s="63">
        <f t="shared" si="0"/>
        <v>686</v>
      </c>
      <c r="H20" s="83">
        <f>G20/G30</f>
        <v>2.8068739770867431E-2</v>
      </c>
    </row>
    <row r="21" spans="1:8" ht="15" customHeight="1">
      <c r="A21" s="272">
        <v>15</v>
      </c>
      <c r="B21" s="271" t="s">
        <v>84</v>
      </c>
      <c r="C21" s="260">
        <v>0</v>
      </c>
      <c r="D21" s="260">
        <v>11</v>
      </c>
      <c r="E21" s="64">
        <v>1</v>
      </c>
      <c r="F21" s="64">
        <v>1757</v>
      </c>
      <c r="G21" s="63">
        <f t="shared" si="0"/>
        <v>1769</v>
      </c>
      <c r="H21" s="83">
        <f>G21/G30</f>
        <v>7.2381342062193127E-2</v>
      </c>
    </row>
    <row r="22" spans="1:8" ht="15" customHeight="1">
      <c r="A22" s="270">
        <v>16</v>
      </c>
      <c r="B22" s="271" t="s">
        <v>85</v>
      </c>
      <c r="C22" s="260">
        <v>0</v>
      </c>
      <c r="D22" s="260">
        <v>11</v>
      </c>
      <c r="E22" s="64">
        <v>1</v>
      </c>
      <c r="F22" s="64">
        <v>244</v>
      </c>
      <c r="G22" s="63">
        <f t="shared" si="0"/>
        <v>256</v>
      </c>
      <c r="H22" s="83">
        <f>G22/G30</f>
        <v>1.0474631751227497E-2</v>
      </c>
    </row>
    <row r="23" spans="1:8" ht="24.75" customHeight="1">
      <c r="A23" s="272">
        <v>17</v>
      </c>
      <c r="B23" s="271" t="s">
        <v>86</v>
      </c>
      <c r="C23" s="260">
        <v>0</v>
      </c>
      <c r="D23" s="260">
        <v>0</v>
      </c>
      <c r="E23" s="64">
        <v>1</v>
      </c>
      <c r="F23" s="64">
        <f>284+1</f>
        <v>285</v>
      </c>
      <c r="G23" s="63">
        <f t="shared" si="0"/>
        <v>286</v>
      </c>
      <c r="H23" s="83">
        <f>G23/G30</f>
        <v>1.1702127659574468E-2</v>
      </c>
    </row>
    <row r="24" spans="1:8" ht="15.75" customHeight="1">
      <c r="A24" s="270">
        <v>18</v>
      </c>
      <c r="B24" s="273" t="s">
        <v>87</v>
      </c>
      <c r="C24" s="260">
        <v>0</v>
      </c>
      <c r="D24" s="260">
        <v>44</v>
      </c>
      <c r="E24" s="64">
        <v>13</v>
      </c>
      <c r="F24" s="64">
        <v>386</v>
      </c>
      <c r="G24" s="63">
        <f t="shared" si="0"/>
        <v>443</v>
      </c>
      <c r="H24" s="83">
        <f>G24/G30</f>
        <v>1.8126022913256955E-2</v>
      </c>
    </row>
    <row r="25" spans="1:8" ht="13.5" customHeight="1">
      <c r="A25" s="270">
        <v>19</v>
      </c>
      <c r="B25" s="273" t="s">
        <v>88</v>
      </c>
      <c r="C25" s="260">
        <v>0</v>
      </c>
      <c r="D25" s="260">
        <v>13</v>
      </c>
      <c r="E25" s="64">
        <v>27</v>
      </c>
      <c r="F25" s="64">
        <v>394</v>
      </c>
      <c r="G25" s="63">
        <f t="shared" si="0"/>
        <v>434</v>
      </c>
      <c r="H25" s="83">
        <f>G25/G30</f>
        <v>1.7757774140752865E-2</v>
      </c>
    </row>
    <row r="26" spans="1:8" ht="36.75" customHeight="1">
      <c r="A26" s="272">
        <v>20</v>
      </c>
      <c r="B26" s="273" t="s">
        <v>89</v>
      </c>
      <c r="C26" s="260">
        <v>0</v>
      </c>
      <c r="D26" s="260">
        <v>0</v>
      </c>
      <c r="E26" s="64">
        <v>0</v>
      </c>
      <c r="F26" s="64">
        <v>39</v>
      </c>
      <c r="G26" s="63">
        <f t="shared" si="0"/>
        <v>39</v>
      </c>
      <c r="H26" s="83">
        <f>G26/G30</f>
        <v>1.5957446808510637E-3</v>
      </c>
    </row>
    <row r="27" spans="1:8" ht="15.75" customHeight="1">
      <c r="A27" s="270">
        <v>21</v>
      </c>
      <c r="B27" s="273" t="s">
        <v>90</v>
      </c>
      <c r="C27" s="260">
        <v>0</v>
      </c>
      <c r="D27" s="260">
        <v>0</v>
      </c>
      <c r="E27" s="64">
        <v>0</v>
      </c>
      <c r="F27" s="64">
        <v>14</v>
      </c>
      <c r="G27" s="63">
        <f t="shared" si="0"/>
        <v>14</v>
      </c>
      <c r="H27" s="83">
        <f>G27/G30</f>
        <v>5.7283142389525363E-4</v>
      </c>
    </row>
    <row r="28" spans="1:8" ht="15.75" customHeight="1">
      <c r="A28" s="270">
        <v>22</v>
      </c>
      <c r="B28" s="274" t="s">
        <v>91</v>
      </c>
      <c r="C28" s="260">
        <v>0</v>
      </c>
      <c r="D28" s="260">
        <v>2</v>
      </c>
      <c r="E28" s="64">
        <v>47</v>
      </c>
      <c r="F28" s="64">
        <f>1172+26</f>
        <v>1198</v>
      </c>
      <c r="G28" s="63">
        <f t="shared" si="0"/>
        <v>1247</v>
      </c>
      <c r="H28" s="83">
        <f>G28/G30</f>
        <v>5.1022913256955807E-2</v>
      </c>
    </row>
    <row r="29" spans="1:8" ht="15.75" customHeight="1">
      <c r="A29" s="270">
        <v>23</v>
      </c>
      <c r="B29" s="274" t="s">
        <v>92</v>
      </c>
      <c r="C29" s="260">
        <v>0</v>
      </c>
      <c r="D29" s="260">
        <v>0</v>
      </c>
      <c r="E29" s="64">
        <v>0</v>
      </c>
      <c r="F29" s="64">
        <v>4</v>
      </c>
      <c r="G29" s="63">
        <f t="shared" si="0"/>
        <v>4</v>
      </c>
      <c r="H29" s="83">
        <f>G29/G30</f>
        <v>1.6366612111292964E-4</v>
      </c>
    </row>
    <row r="30" spans="1:8" ht="12.75" customHeight="1" thickBot="1">
      <c r="A30" s="275"/>
      <c r="B30" s="276" t="s">
        <v>6</v>
      </c>
      <c r="C30" s="262">
        <f t="shared" ref="C30:H30" si="1">SUM(C7:C29)</f>
        <v>26</v>
      </c>
      <c r="D30" s="262">
        <f>SUM(D7:D29)</f>
        <v>2864</v>
      </c>
      <c r="E30" s="262">
        <f t="shared" si="1"/>
        <v>5016</v>
      </c>
      <c r="F30" s="262">
        <f t="shared" si="1"/>
        <v>16534</v>
      </c>
      <c r="G30" s="262">
        <f t="shared" si="1"/>
        <v>24440</v>
      </c>
      <c r="H30" s="278">
        <f t="shared" si="1"/>
        <v>1.0000000000000002</v>
      </c>
    </row>
    <row r="31" spans="1:8">
      <c r="A31" s="74"/>
      <c r="B31" s="75"/>
      <c r="C31" s="76"/>
      <c r="D31" s="76"/>
      <c r="E31" s="76"/>
      <c r="F31" s="76"/>
      <c r="G31" s="76"/>
    </row>
    <row r="32" spans="1:8">
      <c r="A32" s="30" t="s">
        <v>133</v>
      </c>
      <c r="B32" s="30"/>
      <c r="C32" s="30"/>
      <c r="D32" s="30"/>
      <c r="E32" s="30"/>
      <c r="F32" s="77" t="s">
        <v>12</v>
      </c>
      <c r="G32" s="30"/>
    </row>
    <row r="33" spans="1:7">
      <c r="A33" s="472">
        <v>42872</v>
      </c>
      <c r="B33" s="472"/>
      <c r="C33" s="30"/>
      <c r="D33" s="30"/>
      <c r="E33" s="30"/>
      <c r="F33" s="77" t="s">
        <v>93</v>
      </c>
      <c r="G33" s="30"/>
    </row>
    <row r="38" spans="1:7">
      <c r="D38" s="177"/>
    </row>
  </sheetData>
  <mergeCells count="8">
    <mergeCell ref="A33:B33"/>
    <mergeCell ref="A2:H2"/>
    <mergeCell ref="A3:C3"/>
    <mergeCell ref="C4:G4"/>
    <mergeCell ref="H4:H6"/>
    <mergeCell ref="C5:D5"/>
    <mergeCell ref="E5:F5"/>
    <mergeCell ref="G5:G6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κατά επαρχία και φύλο το 2017</vt:lpstr>
      <vt:lpstr>κατά επαρχία,  μήνα 2016,2017</vt:lpstr>
      <vt:lpstr>κατά φύλο, μήνα 2016,2017</vt:lpstr>
      <vt:lpstr>άνεργοι κατά μήνα 2007-2017</vt:lpstr>
      <vt:lpstr>δικ κατά μήν και κοιν 2016-2017</vt:lpstr>
      <vt:lpstr>δικ, ποσό πληρ. κατά μήνα 11-16</vt:lpstr>
      <vt:lpstr>άνεργοι κατά οικ. δραστ.1.2017</vt:lpstr>
      <vt:lpstr>άνεργοι κατά οικ. δραστ. 2.2017</vt:lpstr>
      <vt:lpstr>άνεργοι κατά οικ. δρστ. 3.2017</vt:lpstr>
      <vt:lpstr>άνεργοι κατά οικ. δραστ. 4.2017</vt:lpstr>
      <vt:lpstr>άνεργοι κατά οικ. δραστ. 5.2017</vt:lpstr>
      <vt:lpstr>άνεργοι κατά οικ. δρ. 6.2017</vt:lpstr>
      <vt:lpstr>άνεργοι κατά οικ. δρ. 7.2017</vt:lpstr>
      <vt:lpstr>άνεργοι κατά οικ. δρ. 8.17</vt:lpstr>
      <vt:lpstr>ανεργοι κατά οικ. δρ.9.17</vt:lpstr>
      <vt:lpstr>ανεργοι κατά οικ. δρ.10.17</vt:lpstr>
      <vt:lpstr>ανεργοι κατά οικ. δρ.11.17</vt:lpstr>
      <vt:lpstr>ανεργοι κατά οικ. δρ.12.17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stchristou</cp:lastModifiedBy>
  <cp:lastPrinted>2018-06-21T07:21:22Z</cp:lastPrinted>
  <dcterms:created xsi:type="dcterms:W3CDTF">1999-12-20T10:51:55Z</dcterms:created>
  <dcterms:modified xsi:type="dcterms:W3CDTF">2018-06-21T09:23:52Z</dcterms:modified>
</cp:coreProperties>
</file>