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595" windowHeight="5160" firstSheet="1" activeTab="4"/>
  </bookViews>
  <sheets>
    <sheet name="κατά επαρχία και φύλο το 2016" sheetId="1" r:id="rId1"/>
    <sheet name="κατά επαρχία,  μήνα 2015,2016" sheetId="8" r:id="rId2"/>
    <sheet name="κατά φύλο, μήνα 2015,2016" sheetId="4" r:id="rId3"/>
    <sheet name="άνεργοι κατά μήνα 2007-2016" sheetId="6" r:id="rId4"/>
    <sheet name="δικ κατά μήν και κοιν 2015-2016" sheetId="10" r:id="rId5"/>
    <sheet name="δικ, ποσό πληρ. κατά μήνα 11-16" sheetId="5" r:id="rId6"/>
    <sheet name="άνεργοι κατά οικ. δραστ.1.2016" sheetId="11" r:id="rId7"/>
    <sheet name="άνεργοι κατά οικ. δραστ. 2.2016" sheetId="12" r:id="rId8"/>
    <sheet name="άνεργοι κατά οικ. δρστ. 3.2016" sheetId="13" r:id="rId9"/>
    <sheet name="άνεργοι κατά οικ. δραστ. 4.2016" sheetId="14" r:id="rId10"/>
    <sheet name="άνεργοι κατά οικ. δραστ. 5.2016" sheetId="15" r:id="rId11"/>
    <sheet name="άνεργοι κατά οικ. δρ. 6.2016" sheetId="16" r:id="rId12"/>
    <sheet name="άνεργοι κατά οικ. δρ. 7.2016" sheetId="17" r:id="rId13"/>
    <sheet name="άνεργοι κατά οικ. δρ. 8.16" sheetId="18" r:id="rId14"/>
    <sheet name="ανεργοι κατά οικ. δρ.9.16" sheetId="19" r:id="rId15"/>
    <sheet name="ανεργοι κατά οικ. δρ.10.16" sheetId="20" r:id="rId16"/>
    <sheet name="ανεργοι κατά οικ. δρ.11.16" sheetId="21" r:id="rId17"/>
    <sheet name="ανεργοι κατά οικ. δρ.12.16" sheetId="22" r:id="rId18"/>
  </sheets>
  <definedNames>
    <definedName name="_xlnm._FilterDatabase" localSheetId="5" hidden="1">'δικ, ποσό πληρ. κατά μήνα 11-16'!$J$23:$L$23</definedName>
  </definedNames>
  <calcPr calcId="124519"/>
</workbook>
</file>

<file path=xl/calcChain.xml><?xml version="1.0" encoding="utf-8"?>
<calcChain xmlns="http://schemas.openxmlformats.org/spreadsheetml/2006/main">
  <c r="AB19" i="10"/>
  <c r="AA19"/>
  <c r="Z19"/>
  <c r="Y19"/>
  <c r="AC18"/>
  <c r="AD18" s="1"/>
  <c r="AG20" i="5" s="1"/>
  <c r="AE20" l="1"/>
  <c r="Q22" i="1"/>
  <c r="J22"/>
  <c r="L22"/>
  <c r="M22"/>
  <c r="I22"/>
  <c r="C22"/>
  <c r="D22"/>
  <c r="E22"/>
  <c r="F22"/>
  <c r="B22"/>
  <c r="AE19" i="5"/>
  <c r="AC17" i="10"/>
  <c r="AD17" s="1"/>
  <c r="AG19" i="5" s="1"/>
  <c r="F28" i="22" l="1"/>
  <c r="F23"/>
  <c r="F17"/>
  <c r="F15"/>
  <c r="F13"/>
  <c r="L20" i="8"/>
  <c r="K20"/>
  <c r="J20"/>
  <c r="I20"/>
  <c r="H20"/>
  <c r="N20" i="1"/>
  <c r="I21" i="4" s="1"/>
  <c r="G20" i="1"/>
  <c r="P20" s="1"/>
  <c r="H20" s="1"/>
  <c r="AF23" i="5"/>
  <c r="M20" i="8" l="1"/>
  <c r="N20" s="1"/>
  <c r="G21" i="4"/>
  <c r="O20" i="1"/>
  <c r="R20"/>
  <c r="F28" i="21"/>
  <c r="F23"/>
  <c r="F17"/>
  <c r="F15"/>
  <c r="L19" i="8"/>
  <c r="K19"/>
  <c r="J19"/>
  <c r="I19"/>
  <c r="H19"/>
  <c r="N19" i="1"/>
  <c r="I20" i="4" s="1"/>
  <c r="G19" i="1"/>
  <c r="P19" s="1"/>
  <c r="H19" s="1"/>
  <c r="AC16" i="10"/>
  <c r="AD16" s="1"/>
  <c r="AG18" i="5" s="1"/>
  <c r="AC15" i="10"/>
  <c r="AE17" i="5" s="1"/>
  <c r="G20" i="4" l="1"/>
  <c r="K21"/>
  <c r="H21" s="1"/>
  <c r="M19" i="8"/>
  <c r="N19" s="1"/>
  <c r="AE18" i="5"/>
  <c r="AD15" i="10"/>
  <c r="AG17" i="5" s="1"/>
  <c r="O19" i="1"/>
  <c r="R19"/>
  <c r="F28" i="20"/>
  <c r="F13"/>
  <c r="F30"/>
  <c r="I19" i="4"/>
  <c r="L18" i="8"/>
  <c r="K18"/>
  <c r="J18"/>
  <c r="I18"/>
  <c r="H18"/>
  <c r="N18" i="1"/>
  <c r="G18"/>
  <c r="P18" s="1"/>
  <c r="AC14" i="10"/>
  <c r="AE16" i="5" s="1"/>
  <c r="R18" i="1" l="1"/>
  <c r="H18"/>
  <c r="O18"/>
  <c r="G19" i="4"/>
  <c r="W18" i="6"/>
  <c r="X18" s="1"/>
  <c r="J21" i="4"/>
  <c r="H20"/>
  <c r="K20"/>
  <c r="M18" i="8"/>
  <c r="N18" s="1"/>
  <c r="AD14" i="10"/>
  <c r="AG16" i="5" s="1"/>
  <c r="F28" i="19"/>
  <c r="F23"/>
  <c r="F22"/>
  <c r="F20"/>
  <c r="F15"/>
  <c r="F13"/>
  <c r="F12"/>
  <c r="F9"/>
  <c r="C30"/>
  <c r="L17" i="8"/>
  <c r="K17"/>
  <c r="I17"/>
  <c r="H17"/>
  <c r="K17" i="1"/>
  <c r="J17" i="8" s="1"/>
  <c r="G17" i="1"/>
  <c r="G18" i="4" s="1"/>
  <c r="AC13" i="10"/>
  <c r="F14" i="18"/>
  <c r="F29"/>
  <c r="F23"/>
  <c r="F21"/>
  <c r="F16"/>
  <c r="L16" i="8"/>
  <c r="K16"/>
  <c r="I16"/>
  <c r="H16"/>
  <c r="K16" i="1"/>
  <c r="N16" s="1"/>
  <c r="I17" i="4" s="1"/>
  <c r="G16" i="1"/>
  <c r="AE15" i="5" l="1"/>
  <c r="AE21" s="1"/>
  <c r="AG21" s="1"/>
  <c r="AC19" i="10"/>
  <c r="AD19" s="1"/>
  <c r="M17" i="8"/>
  <c r="N17" s="1"/>
  <c r="N17" i="1"/>
  <c r="W17" i="6"/>
  <c r="X17" s="1"/>
  <c r="J20" i="4"/>
  <c r="K19"/>
  <c r="H19" s="1"/>
  <c r="P16" i="1"/>
  <c r="J16" i="8"/>
  <c r="M16" s="1"/>
  <c r="N16" s="1"/>
  <c r="G17" i="4"/>
  <c r="K17" s="1"/>
  <c r="W14" i="6" s="1"/>
  <c r="X14" s="1"/>
  <c r="AD13" i="10"/>
  <c r="AG15" i="5" s="1"/>
  <c r="J17" i="4"/>
  <c r="H17"/>
  <c r="F28" i="17"/>
  <c r="F20"/>
  <c r="F15"/>
  <c r="F13"/>
  <c r="L15" i="8"/>
  <c r="L22" s="1"/>
  <c r="K15"/>
  <c r="K22" s="1"/>
  <c r="I15"/>
  <c r="I22" s="1"/>
  <c r="H15"/>
  <c r="H22" s="1"/>
  <c r="K15" i="1"/>
  <c r="G15"/>
  <c r="AC11" i="10"/>
  <c r="AE13" i="5" s="1"/>
  <c r="AC10" i="10"/>
  <c r="AE12" i="5" s="1"/>
  <c r="P15" i="1" l="1"/>
  <c r="H15" s="1"/>
  <c r="N15"/>
  <c r="K22"/>
  <c r="J15" i="8"/>
  <c r="J22" s="1"/>
  <c r="W16" i="6"/>
  <c r="X16" s="1"/>
  <c r="J19" i="4"/>
  <c r="P17" i="1"/>
  <c r="I18" i="4"/>
  <c r="F30" i="17"/>
  <c r="G16" i="4"/>
  <c r="G23" s="1"/>
  <c r="G22" i="1"/>
  <c r="O16"/>
  <c r="R16"/>
  <c r="H16"/>
  <c r="M15" i="8"/>
  <c r="AD11" i="10"/>
  <c r="AG13" i="5" s="1"/>
  <c r="AD10" i="10"/>
  <c r="AG12" i="5" s="1"/>
  <c r="O15" i="1"/>
  <c r="F28" i="16"/>
  <c r="F21"/>
  <c r="F20"/>
  <c r="F15"/>
  <c r="F13"/>
  <c r="F9"/>
  <c r="E30"/>
  <c r="L12" i="8"/>
  <c r="K12"/>
  <c r="I12"/>
  <c r="H12"/>
  <c r="K12" i="1"/>
  <c r="J12" i="8" s="1"/>
  <c r="G12" i="1"/>
  <c r="G13" i="4" s="1"/>
  <c r="K18" l="1"/>
  <c r="J18" s="1"/>
  <c r="R17" i="1"/>
  <c r="O17"/>
  <c r="H17"/>
  <c r="N12"/>
  <c r="N22"/>
  <c r="O22" s="1"/>
  <c r="I16" i="4"/>
  <c r="R15" i="1"/>
  <c r="P22"/>
  <c r="R22" s="1"/>
  <c r="N15" i="8"/>
  <c r="M22"/>
  <c r="N22" s="1"/>
  <c r="M12"/>
  <c r="N12" s="1"/>
  <c r="P12" i="1"/>
  <c r="H12" s="1"/>
  <c r="I13" i="4"/>
  <c r="K13" s="1"/>
  <c r="F30" i="16"/>
  <c r="F29" i="15"/>
  <c r="F22"/>
  <c r="F21"/>
  <c r="F17"/>
  <c r="F16"/>
  <c r="F15"/>
  <c r="L11" i="8"/>
  <c r="K11"/>
  <c r="J11"/>
  <c r="I11"/>
  <c r="H11"/>
  <c r="N11" i="1"/>
  <c r="I12" i="4" s="1"/>
  <c r="G11" i="1"/>
  <c r="G12" i="4" s="1"/>
  <c r="R12" i="1" l="1"/>
  <c r="H22"/>
  <c r="I23" i="4"/>
  <c r="K16"/>
  <c r="H18"/>
  <c r="W15" i="6"/>
  <c r="X15" s="1"/>
  <c r="O12" i="1"/>
  <c r="W11" i="6"/>
  <c r="X11" s="1"/>
  <c r="J13" i="4"/>
  <c r="M11" i="8"/>
  <c r="N11" s="1"/>
  <c r="H13" i="4"/>
  <c r="K12"/>
  <c r="W10" i="6" s="1"/>
  <c r="X10" s="1"/>
  <c r="P11" i="1"/>
  <c r="H11" s="1"/>
  <c r="Y22" i="5"/>
  <c r="Y21"/>
  <c r="AC9" i="10"/>
  <c r="AD9" s="1"/>
  <c r="AG11" i="5" s="1"/>
  <c r="AC8" i="10"/>
  <c r="AE10" i="5" s="1"/>
  <c r="F29" i="14"/>
  <c r="F27"/>
  <c r="F22"/>
  <c r="F21"/>
  <c r="F17"/>
  <c r="F16"/>
  <c r="F15"/>
  <c r="F13"/>
  <c r="L10" i="8"/>
  <c r="K10"/>
  <c r="J10"/>
  <c r="I10"/>
  <c r="H10"/>
  <c r="N10" i="1"/>
  <c r="I11" i="4" s="1"/>
  <c r="G10" i="1"/>
  <c r="AD9" i="5"/>
  <c r="AD10"/>
  <c r="AD11"/>
  <c r="AD12"/>
  <c r="AD13"/>
  <c r="AD14"/>
  <c r="AD15"/>
  <c r="AD16"/>
  <c r="AD17"/>
  <c r="AD18"/>
  <c r="AD19"/>
  <c r="AD20"/>
  <c r="AD21"/>
  <c r="AD22"/>
  <c r="AD8"/>
  <c r="AB9"/>
  <c r="AB10"/>
  <c r="AB11"/>
  <c r="AB12"/>
  <c r="AB13"/>
  <c r="AB14"/>
  <c r="AB15"/>
  <c r="AB16"/>
  <c r="AB17"/>
  <c r="AB18"/>
  <c r="AB19"/>
  <c r="AB20"/>
  <c r="AB21"/>
  <c r="AB22"/>
  <c r="AB8"/>
  <c r="K23" i="4" l="1"/>
  <c r="H23" s="1"/>
  <c r="H16"/>
  <c r="J16"/>
  <c r="W13" i="6"/>
  <c r="J23" i="4"/>
  <c r="J12"/>
  <c r="M10" i="8"/>
  <c r="N10" s="1"/>
  <c r="AD8" i="10"/>
  <c r="AG10" i="5" s="1"/>
  <c r="R11" i="1"/>
  <c r="H12" i="4"/>
  <c r="O11" i="1"/>
  <c r="AE11" i="5"/>
  <c r="P10" i="1"/>
  <c r="R10" s="1"/>
  <c r="G11" i="4"/>
  <c r="AC7" i="10"/>
  <c r="AE9" i="5" s="1"/>
  <c r="F28" i="13"/>
  <c r="F26"/>
  <c r="F24"/>
  <c r="F21"/>
  <c r="F20"/>
  <c r="F16"/>
  <c r="F15"/>
  <c r="F14"/>
  <c r="F12"/>
  <c r="F9"/>
  <c r="D30"/>
  <c r="L9" i="8"/>
  <c r="K9"/>
  <c r="J9"/>
  <c r="I9"/>
  <c r="H9"/>
  <c r="N9" i="1"/>
  <c r="I10" i="4" s="1"/>
  <c r="G9" i="1"/>
  <c r="G10" i="4" s="1"/>
  <c r="X13" i="6" l="1"/>
  <c r="W19"/>
  <c r="X19" s="1"/>
  <c r="M9" i="8"/>
  <c r="N9" s="1"/>
  <c r="H10" i="1"/>
  <c r="K10" i="4"/>
  <c r="J10" s="1"/>
  <c r="O10" i="1"/>
  <c r="K11" i="4"/>
  <c r="H11" s="1"/>
  <c r="AD7" i="10"/>
  <c r="AG9" i="5" s="1"/>
  <c r="P9" i="1"/>
  <c r="AF8" i="5"/>
  <c r="AF14" s="1"/>
  <c r="H10" i="4" l="1"/>
  <c r="W8" i="6"/>
  <c r="X8" s="1"/>
  <c r="W9"/>
  <c r="X9" s="1"/>
  <c r="J11" i="4"/>
  <c r="O9" i="1"/>
  <c r="R9"/>
  <c r="H9"/>
  <c r="F28" i="12"/>
  <c r="F26"/>
  <c r="F24"/>
  <c r="F21"/>
  <c r="F20"/>
  <c r="F17"/>
  <c r="F15"/>
  <c r="F14"/>
  <c r="F13"/>
  <c r="F12"/>
  <c r="F9"/>
  <c r="L8" i="8"/>
  <c r="K8"/>
  <c r="J8"/>
  <c r="I8"/>
  <c r="H8"/>
  <c r="N8" i="1"/>
  <c r="G8"/>
  <c r="G9" i="4" s="1"/>
  <c r="F28" i="11"/>
  <c r="F21"/>
  <c r="F15"/>
  <c r="F14"/>
  <c r="F13"/>
  <c r="F12"/>
  <c r="F9"/>
  <c r="H7" i="8"/>
  <c r="H24" s="1"/>
  <c r="H14" l="1"/>
  <c r="P8" i="1"/>
  <c r="R8" s="1"/>
  <c r="H8"/>
  <c r="I9" i="4"/>
  <c r="K9" s="1"/>
  <c r="M8" i="8"/>
  <c r="N8" s="1"/>
  <c r="AF21" i="5"/>
  <c r="AF22" s="1"/>
  <c r="O8" i="1" l="1"/>
  <c r="J9" i="4"/>
  <c r="H9"/>
  <c r="W7" i="6"/>
  <c r="X7" s="1"/>
  <c r="G28" i="20" l="1"/>
  <c r="Z12" i="10" l="1"/>
  <c r="Z20" s="1"/>
  <c r="AA12"/>
  <c r="AA20" s="1"/>
  <c r="AB12"/>
  <c r="AB20" s="1"/>
  <c r="Y12"/>
  <c r="Y20" s="1"/>
  <c r="E30" i="17" l="1"/>
  <c r="V21" i="5" l="1"/>
  <c r="AA21" s="1"/>
  <c r="D31" i="15" l="1"/>
  <c r="G10" i="14"/>
  <c r="D31"/>
  <c r="C31"/>
  <c r="G8"/>
  <c r="AC6" i="10" l="1"/>
  <c r="AE8" i="5" s="1"/>
  <c r="AE14" s="1"/>
  <c r="AG14" l="1"/>
  <c r="AE22"/>
  <c r="AG22" s="1"/>
  <c r="AC12" i="10"/>
  <c r="AC20" s="1"/>
  <c r="AD20" s="1"/>
  <c r="AD6"/>
  <c r="AG8" i="5" s="1"/>
  <c r="T20" i="6"/>
  <c r="U20"/>
  <c r="E24" i="1"/>
  <c r="AD12" i="10" l="1"/>
  <c r="U19" i="6"/>
  <c r="U12"/>
  <c r="G26" i="21" l="1"/>
  <c r="G27"/>
  <c r="G28"/>
  <c r="D30" i="20"/>
  <c r="G9" i="19" l="1"/>
  <c r="C31" i="18" l="1"/>
  <c r="G9" i="14" l="1"/>
  <c r="G11"/>
  <c r="G12"/>
  <c r="G18"/>
  <c r="G19"/>
  <c r="G20"/>
  <c r="G22"/>
  <c r="G23"/>
  <c r="G24"/>
  <c r="G25"/>
  <c r="G26"/>
  <c r="G27"/>
  <c r="G28"/>
  <c r="G30"/>
  <c r="G29"/>
  <c r="G21"/>
  <c r="G17"/>
  <c r="G16"/>
  <c r="G15"/>
  <c r="G14"/>
  <c r="G13"/>
  <c r="G31" l="1"/>
  <c r="H30" s="1"/>
  <c r="M24" i="1"/>
  <c r="L24"/>
  <c r="K24"/>
  <c r="J24"/>
  <c r="I24"/>
  <c r="F24"/>
  <c r="D24"/>
  <c r="C24"/>
  <c r="B24"/>
  <c r="I7" i="8"/>
  <c r="I14" s="1"/>
  <c r="J7"/>
  <c r="J14" s="1"/>
  <c r="K7"/>
  <c r="K14" s="1"/>
  <c r="L7"/>
  <c r="L14" s="1"/>
  <c r="P14" i="5"/>
  <c r="Q14"/>
  <c r="P21"/>
  <c r="Q21"/>
  <c r="P22"/>
  <c r="E30" i="22"/>
  <c r="D30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30"/>
  <c r="G8"/>
  <c r="G7"/>
  <c r="W14" i="5"/>
  <c r="G17" i="21"/>
  <c r="E30"/>
  <c r="D30"/>
  <c r="C30"/>
  <c r="G29"/>
  <c r="G25"/>
  <c r="G24"/>
  <c r="G23"/>
  <c r="G22"/>
  <c r="G21"/>
  <c r="G20"/>
  <c r="G19"/>
  <c r="G18"/>
  <c r="G16"/>
  <c r="G15"/>
  <c r="G14"/>
  <c r="G13"/>
  <c r="G12"/>
  <c r="G11"/>
  <c r="G10"/>
  <c r="F30"/>
  <c r="G8"/>
  <c r="G7"/>
  <c r="A29" i="8"/>
  <c r="A29" i="4" s="1"/>
  <c r="A25" i="6" s="1"/>
  <c r="A28" i="10" s="1"/>
  <c r="A31" i="5" s="1"/>
  <c r="W21"/>
  <c r="E30" i="20"/>
  <c r="C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0" i="19"/>
  <c r="E30"/>
  <c r="D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F31" i="18"/>
  <c r="E31"/>
  <c r="D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0" i="17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30" i="16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T12" i="6"/>
  <c r="G30" i="15"/>
  <c r="F31"/>
  <c r="C31"/>
  <c r="G29"/>
  <c r="G28"/>
  <c r="G27"/>
  <c r="G26"/>
  <c r="G25"/>
  <c r="G24"/>
  <c r="G23"/>
  <c r="G22"/>
  <c r="G21"/>
  <c r="G20"/>
  <c r="G19"/>
  <c r="G18"/>
  <c r="G17"/>
  <c r="E31"/>
  <c r="G15"/>
  <c r="G14"/>
  <c r="G13"/>
  <c r="G12"/>
  <c r="G11"/>
  <c r="G10"/>
  <c r="G9"/>
  <c r="G8"/>
  <c r="U20" i="5"/>
  <c r="S22"/>
  <c r="S21"/>
  <c r="O19" i="10"/>
  <c r="M20"/>
  <c r="P20"/>
  <c r="O20"/>
  <c r="N20"/>
  <c r="P19"/>
  <c r="N19"/>
  <c r="M19"/>
  <c r="Q6"/>
  <c r="F31" i="14"/>
  <c r="F30" i="13"/>
  <c r="C30"/>
  <c r="G29"/>
  <c r="G28"/>
  <c r="G27"/>
  <c r="G26"/>
  <c r="G25"/>
  <c r="G24"/>
  <c r="G23"/>
  <c r="G22"/>
  <c r="G21"/>
  <c r="G20"/>
  <c r="G19"/>
  <c r="G18"/>
  <c r="G17"/>
  <c r="G16"/>
  <c r="G15"/>
  <c r="E30"/>
  <c r="G14"/>
  <c r="G13"/>
  <c r="G12"/>
  <c r="G11"/>
  <c r="G10"/>
  <c r="G9"/>
  <c r="G8"/>
  <c r="G7"/>
  <c r="F30" i="12"/>
  <c r="C30"/>
  <c r="G29"/>
  <c r="G28"/>
  <c r="G27"/>
  <c r="G26"/>
  <c r="G25"/>
  <c r="G24"/>
  <c r="G23"/>
  <c r="G22"/>
  <c r="G21"/>
  <c r="G20"/>
  <c r="G19"/>
  <c r="G18"/>
  <c r="G17"/>
  <c r="G16"/>
  <c r="E30"/>
  <c r="D30"/>
  <c r="G14"/>
  <c r="G13"/>
  <c r="G12"/>
  <c r="G11"/>
  <c r="G10"/>
  <c r="G9"/>
  <c r="G8"/>
  <c r="G7"/>
  <c r="U19" i="5"/>
  <c r="U18"/>
  <c r="U17"/>
  <c r="U16"/>
  <c r="U15"/>
  <c r="Q16" i="10"/>
  <c r="Q15"/>
  <c r="Q14"/>
  <c r="Q13"/>
  <c r="F30" i="11"/>
  <c r="E30"/>
  <c r="D30"/>
  <c r="C30"/>
  <c r="S20" i="6"/>
  <c r="S19"/>
  <c r="K11" i="10"/>
  <c r="U13" i="5"/>
  <c r="U12"/>
  <c r="P12" i="10"/>
  <c r="O12"/>
  <c r="N12"/>
  <c r="M12"/>
  <c r="Q11"/>
  <c r="Q10"/>
  <c r="S14" i="5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S12" i="6"/>
  <c r="U11" i="5"/>
  <c r="U10"/>
  <c r="Q9" i="10"/>
  <c r="R9" s="1"/>
  <c r="Q8"/>
  <c r="Q7"/>
  <c r="U9" i="5"/>
  <c r="U8"/>
  <c r="R20"/>
  <c r="R19"/>
  <c r="R18"/>
  <c r="T21"/>
  <c r="T14"/>
  <c r="C20" i="6"/>
  <c r="B20"/>
  <c r="C19"/>
  <c r="B19"/>
  <c r="C12"/>
  <c r="B12"/>
  <c r="L20"/>
  <c r="K20"/>
  <c r="J20"/>
  <c r="I20"/>
  <c r="E20"/>
  <c r="D20"/>
  <c r="L19"/>
  <c r="K19"/>
  <c r="J19"/>
  <c r="I19"/>
  <c r="E19"/>
  <c r="D19"/>
  <c r="L12"/>
  <c r="K12"/>
  <c r="J12"/>
  <c r="I12"/>
  <c r="F12"/>
  <c r="E12"/>
  <c r="D12"/>
  <c r="R17" i="5"/>
  <c r="R16"/>
  <c r="R15"/>
  <c r="B18" i="10"/>
  <c r="F18" s="1"/>
  <c r="B17"/>
  <c r="F17" s="1"/>
  <c r="B16"/>
  <c r="B15"/>
  <c r="B14"/>
  <c r="F14" s="1"/>
  <c r="B13"/>
  <c r="F13" s="1"/>
  <c r="B11"/>
  <c r="B10"/>
  <c r="B9"/>
  <c r="B8"/>
  <c r="B7"/>
  <c r="F7" s="1"/>
  <c r="B6"/>
  <c r="F6" s="1"/>
  <c r="R19" i="6"/>
  <c r="R20"/>
  <c r="H14" i="5"/>
  <c r="L14" s="1"/>
  <c r="F14"/>
  <c r="D14"/>
  <c r="B14"/>
  <c r="E21"/>
  <c r="D21"/>
  <c r="E14"/>
  <c r="M22"/>
  <c r="M21"/>
  <c r="O21" s="1"/>
  <c r="M14"/>
  <c r="J14"/>
  <c r="Q20" i="6"/>
  <c r="P20"/>
  <c r="O20"/>
  <c r="N20"/>
  <c r="M20"/>
  <c r="M19"/>
  <c r="Q19"/>
  <c r="P19"/>
  <c r="O19"/>
  <c r="N19"/>
  <c r="R12"/>
  <c r="Q12"/>
  <c r="P12"/>
  <c r="O12"/>
  <c r="N12"/>
  <c r="M12"/>
  <c r="F8" i="10"/>
  <c r="J12"/>
  <c r="I12"/>
  <c r="H12"/>
  <c r="G12"/>
  <c r="F16"/>
  <c r="F15"/>
  <c r="K18"/>
  <c r="L18" s="1"/>
  <c r="K17"/>
  <c r="L17" s="1"/>
  <c r="K16"/>
  <c r="L16" s="1"/>
  <c r="K15"/>
  <c r="K14"/>
  <c r="K13"/>
  <c r="R13" s="1"/>
  <c r="F11"/>
  <c r="L11" s="1"/>
  <c r="F10"/>
  <c r="F9"/>
  <c r="K10"/>
  <c r="K9"/>
  <c r="K8"/>
  <c r="K7"/>
  <c r="K6"/>
  <c r="J20"/>
  <c r="I20"/>
  <c r="H20"/>
  <c r="G20"/>
  <c r="J19"/>
  <c r="I19"/>
  <c r="H19"/>
  <c r="G19"/>
  <c r="E20"/>
  <c r="D20"/>
  <c r="C20"/>
  <c r="E19"/>
  <c r="D19"/>
  <c r="C19"/>
  <c r="E12"/>
  <c r="D12"/>
  <c r="C12"/>
  <c r="R13" i="5"/>
  <c r="R12"/>
  <c r="R11"/>
  <c r="R10"/>
  <c r="R9"/>
  <c r="R8"/>
  <c r="L8"/>
  <c r="L9"/>
  <c r="L10"/>
  <c r="L11"/>
  <c r="L12"/>
  <c r="L13"/>
  <c r="I14"/>
  <c r="K14"/>
  <c r="L15"/>
  <c r="L16"/>
  <c r="L17"/>
  <c r="L18"/>
  <c r="L19"/>
  <c r="L20"/>
  <c r="H21"/>
  <c r="L21" s="1"/>
  <c r="I21"/>
  <c r="J21"/>
  <c r="K21"/>
  <c r="H22"/>
  <c r="J22"/>
  <c r="O20"/>
  <c r="O19"/>
  <c r="O18"/>
  <c r="O17"/>
  <c r="O16"/>
  <c r="O15"/>
  <c r="M14" i="1"/>
  <c r="L14"/>
  <c r="K14"/>
  <c r="J14"/>
  <c r="I14"/>
  <c r="F14"/>
  <c r="E14"/>
  <c r="D14"/>
  <c r="C14"/>
  <c r="B14"/>
  <c r="O13" i="5"/>
  <c r="O12"/>
  <c r="N14"/>
  <c r="O11"/>
  <c r="O10"/>
  <c r="O9"/>
  <c r="N7" i="1"/>
  <c r="N24" s="1"/>
  <c r="O8" i="5"/>
  <c r="N21"/>
  <c r="C14"/>
  <c r="G14"/>
  <c r="B21"/>
  <c r="C21"/>
  <c r="F21"/>
  <c r="G21"/>
  <c r="G22" s="1"/>
  <c r="H6" i="6"/>
  <c r="G7"/>
  <c r="H8"/>
  <c r="G9"/>
  <c r="H9"/>
  <c r="H10"/>
  <c r="H11"/>
  <c r="G13"/>
  <c r="H13"/>
  <c r="H14"/>
  <c r="H15"/>
  <c r="G16"/>
  <c r="H16"/>
  <c r="F17"/>
  <c r="F18"/>
  <c r="H18"/>
  <c r="G7" i="1"/>
  <c r="G8" i="4" s="1"/>
  <c r="Q17" i="10"/>
  <c r="G15" i="12"/>
  <c r="Q18" i="10"/>
  <c r="E31" i="14"/>
  <c r="G16" i="15"/>
  <c r="G9" i="21"/>
  <c r="I22" i="5" l="1"/>
  <c r="K22"/>
  <c r="R14" i="10"/>
  <c r="E22" i="5"/>
  <c r="R15" i="10"/>
  <c r="R17"/>
  <c r="L8"/>
  <c r="Q12"/>
  <c r="O22" i="5"/>
  <c r="L10" i="10"/>
  <c r="R16"/>
  <c r="G30" i="17"/>
  <c r="H7" s="1"/>
  <c r="U14" i="5"/>
  <c r="G31" i="18"/>
  <c r="H10" s="1"/>
  <c r="W22" i="5"/>
  <c r="K12" i="10"/>
  <c r="R12" s="1"/>
  <c r="F19"/>
  <c r="G31" i="15"/>
  <c r="H10" s="1"/>
  <c r="L22" i="5"/>
  <c r="L9" i="10"/>
  <c r="O14" i="5"/>
  <c r="D22"/>
  <c r="R6" i="10"/>
  <c r="Q19"/>
  <c r="R7"/>
  <c r="B19"/>
  <c r="G30" i="22"/>
  <c r="H27" s="1"/>
  <c r="G30" i="21"/>
  <c r="H8" s="1"/>
  <c r="G30" i="13"/>
  <c r="H14" s="1"/>
  <c r="Q22" i="5"/>
  <c r="G14" i="1"/>
  <c r="T19" i="6"/>
  <c r="G30" i="20"/>
  <c r="H7" s="1"/>
  <c r="G30" i="19"/>
  <c r="H7" s="1"/>
  <c r="G30" i="16"/>
  <c r="H8" s="1"/>
  <c r="N22" i="5"/>
  <c r="T22"/>
  <c r="R14"/>
  <c r="H18" i="14"/>
  <c r="H10"/>
  <c r="H26"/>
  <c r="H13"/>
  <c r="H21"/>
  <c r="H29"/>
  <c r="H12"/>
  <c r="H20"/>
  <c r="H28"/>
  <c r="H15"/>
  <c r="H14"/>
  <c r="H22"/>
  <c r="H9"/>
  <c r="H17"/>
  <c r="H25"/>
  <c r="H8"/>
  <c r="H16"/>
  <c r="H24"/>
  <c r="H11"/>
  <c r="H19"/>
  <c r="H23"/>
  <c r="H27"/>
  <c r="F20" i="6"/>
  <c r="G19"/>
  <c r="G20"/>
  <c r="H19"/>
  <c r="H20"/>
  <c r="G15" i="4"/>
  <c r="G25"/>
  <c r="I8"/>
  <c r="F22" i="5"/>
  <c r="B22"/>
  <c r="F20" i="10"/>
  <c r="F12"/>
  <c r="R10"/>
  <c r="R8"/>
  <c r="R18"/>
  <c r="K20"/>
  <c r="B12"/>
  <c r="B20"/>
  <c r="K19"/>
  <c r="R11"/>
  <c r="Q20"/>
  <c r="R20" s="1"/>
  <c r="L6"/>
  <c r="L7"/>
  <c r="L13"/>
  <c r="L14"/>
  <c r="L15"/>
  <c r="V22" i="5"/>
  <c r="AA22" s="1"/>
  <c r="P7" i="1"/>
  <c r="O7" s="1"/>
  <c r="N14"/>
  <c r="M7" i="8"/>
  <c r="N7" s="1"/>
  <c r="G30" i="11"/>
  <c r="H30" s="1"/>
  <c r="G30" i="12"/>
  <c r="H8" s="1"/>
  <c r="L24" i="8"/>
  <c r="J24"/>
  <c r="K24"/>
  <c r="I24"/>
  <c r="V14" i="5"/>
  <c r="X21"/>
  <c r="C22"/>
  <c r="R22"/>
  <c r="U21"/>
  <c r="R21"/>
  <c r="U22"/>
  <c r="G12" i="6"/>
  <c r="F19"/>
  <c r="H12"/>
  <c r="H13" i="17" l="1"/>
  <c r="H7" i="21"/>
  <c r="H29" i="18"/>
  <c r="H28"/>
  <c r="H15"/>
  <c r="H13"/>
  <c r="H21"/>
  <c r="H20"/>
  <c r="H22"/>
  <c r="H23"/>
  <c r="H30"/>
  <c r="H14"/>
  <c r="H12"/>
  <c r="H25"/>
  <c r="H17"/>
  <c r="H9"/>
  <c r="H24"/>
  <c r="H16"/>
  <c r="H8"/>
  <c r="H27"/>
  <c r="H19"/>
  <c r="H11"/>
  <c r="H26"/>
  <c r="H18"/>
  <c r="H22" i="17"/>
  <c r="H14"/>
  <c r="H29"/>
  <c r="H21"/>
  <c r="M24" i="8"/>
  <c r="N24" s="1"/>
  <c r="M14"/>
  <c r="H20" i="17"/>
  <c r="H27"/>
  <c r="H11"/>
  <c r="L12" i="10"/>
  <c r="H13" i="13"/>
  <c r="H26" i="17"/>
  <c r="H18"/>
  <c r="H10"/>
  <c r="H25"/>
  <c r="H17"/>
  <c r="H9"/>
  <c r="H28"/>
  <c r="H12"/>
  <c r="H19"/>
  <c r="H24"/>
  <c r="H16"/>
  <c r="H8"/>
  <c r="H23"/>
  <c r="H15"/>
  <c r="H15" i="15"/>
  <c r="H23"/>
  <c r="H8"/>
  <c r="H18"/>
  <c r="H22"/>
  <c r="H29"/>
  <c r="H11"/>
  <c r="H24"/>
  <c r="H9"/>
  <c r="H21"/>
  <c r="H13"/>
  <c r="H16"/>
  <c r="H12"/>
  <c r="H25"/>
  <c r="H14"/>
  <c r="H28"/>
  <c r="H24" i="21"/>
  <c r="H27" i="15"/>
  <c r="H19"/>
  <c r="H26"/>
  <c r="H17"/>
  <c r="H30"/>
  <c r="H20"/>
  <c r="H25" i="22"/>
  <c r="H26" i="21"/>
  <c r="H22"/>
  <c r="L20" i="10"/>
  <c r="H28" i="21"/>
  <c r="H20"/>
  <c r="H29" i="13"/>
  <c r="H19"/>
  <c r="H16"/>
  <c r="H8"/>
  <c r="H7" i="1"/>
  <c r="H25" i="13"/>
  <c r="H27"/>
  <c r="H22"/>
  <c r="H15"/>
  <c r="H20"/>
  <c r="H10"/>
  <c r="R19" i="10"/>
  <c r="H17" i="13"/>
  <c r="H23"/>
  <c r="H24"/>
  <c r="H28"/>
  <c r="H9"/>
  <c r="H12"/>
  <c r="H21"/>
  <c r="H26"/>
  <c r="H18"/>
  <c r="H7"/>
  <c r="H11"/>
  <c r="H12" i="22"/>
  <c r="H24"/>
  <c r="H20"/>
  <c r="H16"/>
  <c r="H23"/>
  <c r="H9"/>
  <c r="H14"/>
  <c r="H18"/>
  <c r="H28"/>
  <c r="H11"/>
  <c r="H19"/>
  <c r="H22"/>
  <c r="H15"/>
  <c r="H21"/>
  <c r="H7"/>
  <c r="H29"/>
  <c r="H26"/>
  <c r="H13"/>
  <c r="H8"/>
  <c r="H17"/>
  <c r="H10"/>
  <c r="H18" i="21"/>
  <c r="H15"/>
  <c r="H13"/>
  <c r="H11"/>
  <c r="H9"/>
  <c r="H17"/>
  <c r="H29"/>
  <c r="H27"/>
  <c r="H25"/>
  <c r="H23"/>
  <c r="H21"/>
  <c r="H19"/>
  <c r="H16"/>
  <c r="H14"/>
  <c r="H12"/>
  <c r="H10"/>
  <c r="R7" i="1"/>
  <c r="P14"/>
  <c r="R14" s="1"/>
  <c r="X14" i="5"/>
  <c r="H28" i="20"/>
  <c r="H24"/>
  <c r="H26"/>
  <c r="H22"/>
  <c r="H14"/>
  <c r="H18"/>
  <c r="H10"/>
  <c r="H25"/>
  <c r="H17"/>
  <c r="H9"/>
  <c r="H20"/>
  <c r="H16"/>
  <c r="H12"/>
  <c r="H8"/>
  <c r="H29"/>
  <c r="H21"/>
  <c r="H13"/>
  <c r="H27"/>
  <c r="H23"/>
  <c r="H19"/>
  <c r="H15"/>
  <c r="H11"/>
  <c r="H28" i="19"/>
  <c r="H24"/>
  <c r="H20"/>
  <c r="H26"/>
  <c r="H22"/>
  <c r="H16"/>
  <c r="H8"/>
  <c r="H12"/>
  <c r="H27"/>
  <c r="H23"/>
  <c r="H18"/>
  <c r="H14"/>
  <c r="H10"/>
  <c r="H29"/>
  <c r="H25"/>
  <c r="H15"/>
  <c r="H19"/>
  <c r="H11"/>
  <c r="H21"/>
  <c r="H17"/>
  <c r="H13"/>
  <c r="H9"/>
  <c r="H27" i="16"/>
  <c r="H23"/>
  <c r="H29"/>
  <c r="H25"/>
  <c r="H19"/>
  <c r="H21"/>
  <c r="H15"/>
  <c r="H17"/>
  <c r="H13"/>
  <c r="H7"/>
  <c r="H11"/>
  <c r="H22"/>
  <c r="H26"/>
  <c r="H18"/>
  <c r="H9"/>
  <c r="H28"/>
  <c r="H24"/>
  <c r="H20"/>
  <c r="H14"/>
  <c r="H16"/>
  <c r="H12"/>
  <c r="H10"/>
  <c r="H31" i="14"/>
  <c r="I25" i="4"/>
  <c r="I15"/>
  <c r="K8"/>
  <c r="L19" i="10"/>
  <c r="X22" i="5"/>
  <c r="P24" i="1"/>
  <c r="R24" s="1"/>
  <c r="H29" i="11"/>
  <c r="H17"/>
  <c r="H25"/>
  <c r="H26"/>
  <c r="H21"/>
  <c r="H13"/>
  <c r="H14"/>
  <c r="H9"/>
  <c r="H22"/>
  <c r="H7"/>
  <c r="H18"/>
  <c r="H10"/>
  <c r="H23"/>
  <c r="H27"/>
  <c r="H15"/>
  <c r="H19"/>
  <c r="H28"/>
  <c r="H11"/>
  <c r="H20"/>
  <c r="H12"/>
  <c r="H24"/>
  <c r="H16"/>
  <c r="H8"/>
  <c r="H28" i="12"/>
  <c r="H24"/>
  <c r="H20"/>
  <c r="H16"/>
  <c r="H11"/>
  <c r="H7"/>
  <c r="H27"/>
  <c r="H23"/>
  <c r="H19"/>
  <c r="H14"/>
  <c r="H10"/>
  <c r="H15"/>
  <c r="H26"/>
  <c r="H22"/>
  <c r="H18"/>
  <c r="H13"/>
  <c r="H9"/>
  <c r="H29"/>
  <c r="H25"/>
  <c r="H21"/>
  <c r="H17"/>
  <c r="H12"/>
  <c r="N14" i="8" l="1"/>
  <c r="H31" i="18"/>
  <c r="H30" i="17"/>
  <c r="H31" i="15"/>
  <c r="H30" i="13"/>
  <c r="O14" i="1"/>
  <c r="H30" i="22"/>
  <c r="H30" i="21"/>
  <c r="H14" i="1"/>
  <c r="H30" i="20"/>
  <c r="H30" i="19"/>
  <c r="H30" i="16"/>
  <c r="H30" i="12"/>
  <c r="H8" i="4"/>
  <c r="W6" i="6"/>
  <c r="X6" s="1"/>
  <c r="J8" i="4"/>
  <c r="K15"/>
  <c r="K25"/>
  <c r="H25" s="1"/>
  <c r="O24" i="1"/>
  <c r="W20" i="6" l="1"/>
  <c r="X20" s="1"/>
  <c r="J25" i="4"/>
  <c r="H15"/>
  <c r="J15"/>
  <c r="W12" i="6"/>
  <c r="X12" s="1"/>
  <c r="G24" i="1"/>
  <c r="H24" s="1"/>
</calcChain>
</file>

<file path=xl/sharedStrings.xml><?xml version="1.0" encoding="utf-8"?>
<sst xmlns="http://schemas.openxmlformats.org/spreadsheetml/2006/main" count="731" uniqueCount="151">
  <si>
    <t>ΜΗΝΑΣ</t>
  </si>
  <si>
    <t>ΛΕΥΚΩΣΙΑ</t>
  </si>
  <si>
    <t>ΛΑΡΝΑΚΑ</t>
  </si>
  <si>
    <t>ΠΑΡΑΛΙΜΝΙ</t>
  </si>
  <si>
    <t>ΛΕΜΕΣΟΣ</t>
  </si>
  <si>
    <t>ΠΑΦΟΣ</t>
  </si>
  <si>
    <t>ΣΥΝΟΛΟ</t>
  </si>
  <si>
    <t>ΑΥΓΟΥΣΤΟΣ</t>
  </si>
  <si>
    <t>ΑΝΔΡΕΣ</t>
  </si>
  <si>
    <t>ΓΥΝΑΙΚΕΣ</t>
  </si>
  <si>
    <t>ΠΟΣΟΣΤΟ</t>
  </si>
  <si>
    <t xml:space="preserve"> ΥΠΗΡΕΣΙΕΣ ΚΟΙΝΩΝΙΚΩΝ ΑΣΦΑΛΙΣΕΩΝ</t>
  </si>
  <si>
    <t>ΚΛΑΔΟΣ ΣΤΑΤΙΣΤΙΚΗΣ</t>
  </si>
  <si>
    <t>£</t>
  </si>
  <si>
    <t>Μ Η Ν Α Σ</t>
  </si>
  <si>
    <t>ΑΡΙΘΜΟΣ</t>
  </si>
  <si>
    <t>ΠΟΣΟ ΠΟΥ</t>
  </si>
  <si>
    <t>ΠΡΟΣΩΠΩΝ</t>
  </si>
  <si>
    <t>ΠΛΗΡΩΘΗΚΕ</t>
  </si>
  <si>
    <t>12356*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</si>
  <si>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</si>
  <si>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</si>
  <si>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</si>
  <si>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</si>
  <si>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</si>
  <si>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</si>
  <si>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</si>
  <si>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</si>
  <si>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</si>
  <si>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</si>
  <si>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</si>
  <si>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ΠΛΗΡΩΘΗΚΕ*</t>
  </si>
  <si>
    <t xml:space="preserve">                ΚΛΑΔΟΣ ΣΤΑΤΙΣΤΙΚΗΣ</t>
  </si>
  <si>
    <t>% μεταβολής στον αρ. ατόμων 2009/2008</t>
  </si>
  <si>
    <t>% μεταβολής στον αρ. ατόμων 2010/2009</t>
  </si>
  <si>
    <t>% μεταβολής στον αρ. ατόμων 2011/2010</t>
  </si>
  <si>
    <t>Εληνοκύπριοι και άλλοι</t>
  </si>
  <si>
    <t>Κοινοτικοί</t>
  </si>
  <si>
    <t xml:space="preserve">Τουρκοκύπριοι </t>
  </si>
  <si>
    <t>Σύνολο</t>
  </si>
  <si>
    <t xml:space="preserve">Αλλοδαποί 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</si>
  <si>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</si>
  <si>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ΜΕΣΟΣ ΜΗΝΙΑΟΣ ΑΡΙΘΜΟΣ Α΄ ΕΞΑΜΗΝΟΥ</t>
  </si>
  <si>
    <t>ΜΕΣΟΣ ΜΗΝΙΑΙΟΣ ΑΡΙΘΜΟΣ Β΄ ΕΞΑΜΗΝΟΥ</t>
  </si>
  <si>
    <t>ΜΕΣΟΣ ΜΗΝΙΑΙΟΣ  ΑΡΙΘΜΟΣ ΧΡΟΝΟΥ</t>
  </si>
  <si>
    <t>ΜΕΣΟΣ ΜΗΝΙΑΙΟΣ ΑΡΙΘΜΟΣ Α΄ ΕΞΑΜΗΝΟΥ</t>
  </si>
  <si>
    <t>ΜΕΣΟΣ ΜΗΝΙΑΙΟΣ ΑΡΙΘΜΟΣ ΧΡΟΝΟΥ</t>
  </si>
  <si>
    <t xml:space="preserve">ΜΕΣΟΣ ΜΗΝΙΑΙΟΣ ΑΡΙΘΜΟΣ Β΄ ΕΞΑΜΗΝΟΥ </t>
  </si>
  <si>
    <t>ΜΕΣΟΣ ΜΗΝΙΑΙΟΣ ΑΡΙΘΜΟΣ ΕΤΟΥΣ</t>
  </si>
  <si>
    <t xml:space="preserve">ΜΕΣΟΣ ΜΗΝΙΑΙΟΣ ΑΡΙΘΜΟΣ Α΄ ΕΞΑΜΗΝΟΥ </t>
  </si>
  <si>
    <r>
      <t xml:space="preserve">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</t>
    </r>
  </si>
  <si>
    <t>ΑΤΟΜΩΝ</t>
  </si>
  <si>
    <t>ΜΕΣΟΣ ΜΗΝΙΑΙΟΣ ΑΡΙΘΜΟΣ ΑΤΟΜΩΝ ΚΑΙ ΣΥΝΟΛΙΚΟ ΠΟΣΟ ΠΛΗΡΩΜΗΣ Α΄ ΕΞΑΜΗΝΟΥ</t>
  </si>
  <si>
    <t>ΜΕΣΟΣ ΜΗΝΙΑΙΟΣ ΑΡΙΘΜΟΣ ΑΤΟΜΩΝ ΚΑΙ ΣΥΝΟΛΙΚΟ ΠΟΣΟ ΠΛΗΡΩΜΗΣ Β΄ ΕΞΑΜΗΝΟΥ</t>
  </si>
  <si>
    <t xml:space="preserve">                                           ΜΕΣΟΣ ΜΗΝΙΑΙΟΣ ΑΡΙΘΜΟΣ ΑΤΟΜΩΝ ΚΑΙ ΣΥΝΟΛΙΚΟ ΠΟΣΟ ΠΛΗΡΩΜΗΣ ΕΤΟΥΣ €</t>
  </si>
  <si>
    <t>2. Μέρος του ποσού αφορά αναδρομικές πληρωμές.</t>
  </si>
  <si>
    <t xml:space="preserve"> * Το ποσό πληρωμής αφορά τη μηνιαία δαπάνη του επιδόματος ανεργίας και όχι το ποσό που καταβλήθηκε στα πιο πάνω άτομα, για τους πιο κάτω λόγους:</t>
  </si>
  <si>
    <t>1. Οι δικαιούχοι δεν πληρώνονται απαραίτητα τον αντίστοιχο μήνα αναφοράς,</t>
  </si>
  <si>
    <t>ΕΤΗΣΙΑ ΔΑΠΑΝΗ €**</t>
  </si>
  <si>
    <t>ΠΟΣΟ ΠΛΗΡΩΜΗΣ* €</t>
  </si>
  <si>
    <t>% μεταβολής του συνόλου 2011/2010</t>
  </si>
  <si>
    <t>% μεταβολής στον αρ. ατόμων 2012/2011</t>
  </si>
  <si>
    <t>ΚΑΤΗΓΟΡΙΑ ΑΝΕΡΓΩΝ</t>
  </si>
  <si>
    <t>A/A</t>
  </si>
  <si>
    <t xml:space="preserve"> ΟΙΚΟΝΟΜΙΚΗ ΔΡΑΣΤΗΡΙΟΤΗΤΑ (NACE 2)</t>
  </si>
  <si>
    <t xml:space="preserve">      ΑΝΑΣΤΟΛΕΣ </t>
  </si>
  <si>
    <t xml:space="preserve">    ΤΕΡΜΑΤΙΣΜΟΙ </t>
  </si>
  <si>
    <t>ΜΕΤΑΠΟΙΗΣΗΣ</t>
  </si>
  <si>
    <t>ΤΟΥΡΙΣΤΙΚΗΣ ΒΙΟΜΗΧΑΝΙΑΣ</t>
  </si>
  <si>
    <t>ΑΛΛΟΙ</t>
  </si>
  <si>
    <t>Γεωργία, δασοκομία και αλιεία</t>
  </si>
  <si>
    <t>Ορυχεία και λατομεία</t>
  </si>
  <si>
    <t>Μεταποίηση</t>
  </si>
  <si>
    <t>Παροχή ηλεκτρικού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</si>
  <si>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</si>
  <si>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</si>
  <si>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εμπόριο.  Επισκευή μηχανοκίνητων οχημάτων και μοτοσυκλετών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</si>
  <si>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</si>
  <si>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</si>
  <si>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</si>
  <si>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</si>
  <si>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</si>
  <si>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</si>
  <si>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</si>
  <si>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άμυνα. Υποχρεωτική κοινωνική ασφάλιση</t>
  </si>
  <si>
    <t>Εκπαίδευση</t>
  </si>
  <si>
    <t>Δραστηριότητες σχετικές με την ανθρώπινη υγεία και την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</si>
  <si>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</si>
  <si>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</si>
  <si>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εργοδοτών. Μη διαφοροποιημένες δραστηριότητες νοικοκυριών που αφορούν την παραγωγή αγαθών - και υπηρεσιών - για ιδία χρήση</t>
  </si>
  <si>
    <t>Δραστηριότητες ετερόδικων οργανισμών και φορέων</t>
  </si>
  <si>
    <t>Μη δηλωμένη οικονομική δραστηριότητα</t>
  </si>
  <si>
    <t>Λιμενεργάτες</t>
  </si>
  <si>
    <t>ΥΠΗΡΕΣΙΕΣ ΚΟΙΝΩΝΙΚΩΝ ΑΣΦΑΛΙΣΕΩΝ</t>
  </si>
  <si>
    <t>% μεταβολής του συνόλου 2012/2011</t>
  </si>
  <si>
    <t>% μεταβολής στον αρ. ατόμων 2013/2012</t>
  </si>
  <si>
    <t xml:space="preserve">Ποσοστό επί του συνόλου </t>
  </si>
  <si>
    <r>
      <t xml:space="preserve"> 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 </t>
    </r>
    <r>
      <rPr>
        <sz val="10"/>
        <rFont val="Arial"/>
        <family val="2"/>
        <charset val="161"/>
      </rPr>
      <t xml:space="preserve">                                    </t>
    </r>
  </si>
  <si>
    <t>ΠΙΝΑΚΑΣ 1</t>
  </si>
  <si>
    <t>ΠΙΝΑΚΑΣ 2</t>
  </si>
  <si>
    <t>ΠΙΝΑΚΑΣ 3</t>
  </si>
  <si>
    <t>ΠΙΝΑΚΑΣ 4</t>
  </si>
  <si>
    <t>ΠΙΝΑΚΑΣ 5</t>
  </si>
  <si>
    <t>ΠΙΝΑΚΑΣ 6</t>
  </si>
  <si>
    <t xml:space="preserve">ΠΙΝΑΚΑΣ ΣΤΟΝ ΟΠΟΙΟ ΦΑΙΝΕΤΑΙ Ο ΑΡΙΘΜΟΣ ΤΩΝ ΠΡΟΣΩΠΩΝ ΠΟΥ ΑΠΟΤΑΘΗΚΑΝ </t>
  </si>
  <si>
    <t>ΠΙΝΑΚΑΣ 7.7</t>
  </si>
  <si>
    <t>ΠΙΝΑΚΑΣ 7.6</t>
  </si>
  <si>
    <t>ΠΙΝΑΚΑΣ 7.1</t>
  </si>
  <si>
    <t>ΠΙΝΑΚΑΣ 7.2</t>
  </si>
  <si>
    <t>ΠΙΝΑΚΑΣ 7.3</t>
  </si>
  <si>
    <t>ΠΙΝΑΚΑΣ 7.4</t>
  </si>
  <si>
    <t>ΠΙΝΑΚΑΣ 7.5</t>
  </si>
  <si>
    <t>ΠΙΝΑΚΑΣ 7.8</t>
  </si>
  <si>
    <t>ΠΙΝΑΚΑΣ 7.9</t>
  </si>
  <si>
    <t>ΠΙΝΑΚΑΣ 7.10</t>
  </si>
  <si>
    <t>ΠΙΝΑΚΑΣ 7.11</t>
  </si>
  <si>
    <t>ΠΟΣΟΣΤΟ ΕΠΙ ΤΟΥ ΣΥΝΟΛΟΥ</t>
  </si>
  <si>
    <t>% μεταβολής στον αρ. ατόμων 2014/2013</t>
  </si>
  <si>
    <t>% μεταβολής του συνόλου 2015/2014</t>
  </si>
  <si>
    <t>% μεταβολής στον αρ. ατόμων 2015/2014</t>
  </si>
  <si>
    <t>ΠΟΣΟΣΤΙΑΙΑ ΑΥΞΗΣΗ</t>
  </si>
  <si>
    <t>ΓΕΝΙΚΟ ΣΥΝΟΛΟ</t>
  </si>
  <si>
    <r>
      <t xml:space="preserve"> ΠΙΝΑΚΑΣ ΣΤΟΝ ΟΠΟΙΟ ΦΑΙΝΕΤΑΙ Ο ΑΡΙΘΜΟΣ </t>
    </r>
    <r>
      <rPr>
        <b/>
        <sz val="10"/>
        <rFont val="Arial"/>
        <family val="2"/>
        <charset val="161"/>
      </rPr>
      <t xml:space="preserve">ΤΩΝ ΔΙΚΑΙΟΥΧΩΝ </t>
    </r>
    <r>
      <rPr>
        <sz val="10"/>
        <rFont val="Arial"/>
        <family val="2"/>
        <charset val="161"/>
      </rPr>
      <t>ΕΠΙΔΟΜΑΤΟΣ ΑΝΕΡΓΙΑΣ ΑΠΟ ΤΟ ΤΑΜΕΙΟ ΚΟΙΝΩΝΙΚΩΝ ΑΣΦΑΛΙΣΕΩΝ, ΚΑΤΑ ΜΗΝΑ, ΚΟΙΝΟΤΗΤΑ ΚΑΙ ΚΑΤΑ ΧΡΟΝΟ ΓΙΑ ΤΑ ΧΡΟΝΙΑ 2015 -2016</t>
    </r>
  </si>
  <si>
    <t>% μεταβολής στον αρ. ατόμων 2016/2015</t>
  </si>
  <si>
    <t xml:space="preserve">Πίνακας στον οποίο φαίνεται ο αριθμός των ατόμων που αποτάθηκαν για επίδομα ανεργίας κατά οικονομική δραστηριότητα και κατάσταση ανέργου, τον Ιανουάριο του 2016 </t>
  </si>
  <si>
    <t xml:space="preserve">      ΓΙΑ ΕΠΙΔΟΜΑ ΑΝΕΡΓΙΑΣ ΤΟ 2016 ΚΑΤΑ ΕΠΑΡΧΙΑ, ΦΥΛΟ ΚΑΙ ΜΗΝΑ  </t>
  </si>
  <si>
    <t>% μεταβολής 2016/2015</t>
  </si>
  <si>
    <r>
      <t xml:space="preserve"> ΠΙΝΑΚΑΣ ΣΤΟΝ ΟΠΟΙΟ ΦΑΙΝΕΤΑΙ Ο ΑΡΙΘΜΟΣ ΤΩΝ ΑΤΟΜΩΝ ΠΟΥ </t>
    </r>
    <r>
      <rPr>
        <b/>
        <sz val="10"/>
        <rFont val="Arial"/>
        <family val="2"/>
        <charset val="161"/>
      </rPr>
      <t>ΑΠΟΤΑΘΗΚΑΝ</t>
    </r>
    <r>
      <rPr>
        <sz val="10"/>
        <rFont val="Arial"/>
        <family val="2"/>
        <charset val="161"/>
      </rPr>
      <t xml:space="preserve"> ΓΙΑ ΕΠΙΔΟΜΑ ΑΝΕΡΓΙΑΣ ΚΑΤΑ ΜΗΝΑ ΚΑΙ ΧΡΟΝΟ ΓΙΑ ΤΑ ΧΡΟΝΙΑ 1995 - 2016</t>
    </r>
  </si>
  <si>
    <t>Unemployment benefit by economic activity 2016</t>
  </si>
  <si>
    <t>ΓΙΑ ΕΠΙΔΟΜΑ ΑΝΕΡΓΙΑΣ ΓΙΑ ΤΑ ΧΡΟΝΙΑ 2015 ΚΑΙ 2016 ΚΑΤΑ ΕΠΑΡΧΙΑ ΚΑΙ ΜΗΝΑ</t>
  </si>
  <si>
    <t>ΓΙΑ ΕΠΙΔΟΜΑ ΑΝΕΡΓΙΑΣ ΚΑΤΑ ΦΥΛΟ ΚΑΙ ΜΗΝΑ ΓΙΑ ΤΑ ΧΡΟΝΙΑ 2015 ΚΑΙ 2016</t>
  </si>
  <si>
    <t>ΠΙΝΑΚΑΣ ΣΤΟΝ ΟΠΟΙΟ ΦΑΙΝΕΤΑΙ Ο ΑΡΙΘΜΟΣ ΤΩΝ ΔΙΚΑΙΟΥΧΩΝ ΕΠΙΔΟΜΑΤΟΣ ΑΝΕΡΓΙΑΣ ΚΑΙ ΤΟ ΠΟΣΟ ΠΛΗΡΩΜΗΣ* ΚΑΤΑ ΜΗΝΑ ΓΙΑ ΤΑ ΧΡΟΝΙΑ 2011 - 2016</t>
  </si>
  <si>
    <t>UNEMPLOYMENT BENEFIT Y2011-2016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</si>
  <si>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Φεβρουάριο του 2016</t>
  </si>
  <si>
    <t>UNEMPLOYMENT BENEFIT Y2015-2016</t>
  </si>
  <si>
    <t>% μεταβολής του συνόλου 2016/2015</t>
  </si>
  <si>
    <t xml:space="preserve">**  Η ετήσια δαπάνη είναι σύμφωνα με τους τελικούς λογαριασμούς του Ταμείου Κοινωνικών Ασφαλίσεων. Το ετήσιο ποσό του 2015 - 2016 διαφέρει από τη μηνιαία δαπάνη γιατί περιλαμβάνει και τις αποδόσεις των δαπανών ανεργίας σε / από άλλες χώρες της Ε.Ε. με βάση τον Κανονισμό. </t>
  </si>
  <si>
    <t xml:space="preserve">Πίνακας στον οποίο φαίνεται ο αριθμός των ατόμων που αποτάθηκαν για επίδομα ανεργίας κατά οικονομική δραστηριότητα και κατάσταση ανέργου, το Μάρτιο του 2016 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</si>
  <si>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Απρίλιο του 2016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</si>
  <si>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Μάϊο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</si>
  <si>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Ιούνιο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</si>
  <si>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Ιούλιο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</si>
  <si>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Αύγουστο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</si>
  <si>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Σεπτέμβριο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</si>
  <si>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Οκτώβριο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</si>
  <si>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Νοέμβριο του 2016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</si>
  <si>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Δεκέμβριο του 2016</t>
  </si>
  <si>
    <t>Unemployment benefit by economic activity 2016 (Jan-June)</t>
  </si>
  <si>
    <t>Unemployment benefit by economic activity 2016 (Jan-Dec)</t>
  </si>
  <si>
    <t xml:space="preserve">    </t>
  </si>
  <si>
    <t>ΠΙΝΑΚΑΣ 7.12</t>
  </si>
</sst>
</file>

<file path=xl/styles.xml><?xml version="1.0" encoding="utf-8"?>
<styleSheet xmlns="http://schemas.openxmlformats.org/spreadsheetml/2006/main">
  <numFmts count="6">
    <numFmt numFmtId="41" formatCode="_-* #,##0\ _€_-;\-* #,##0\ _€_-;_-* &quot;-&quot;\ _€_-;_-@_-"/>
    <numFmt numFmtId="164" formatCode="_-* #,##0\ _Δ_ρ_χ_-;\-* #,##0\ _Δ_ρ_χ_-;_-* &quot;-&quot;\ _Δ_ρ_χ_-;_-@_-"/>
    <numFmt numFmtId="165" formatCode="0.0%"/>
    <numFmt numFmtId="166" formatCode="[$-408]d\-mmm\-yy;@"/>
    <numFmt numFmtId="167" formatCode="[$-408]dd\-mmm\-yy;@"/>
    <numFmt numFmtId="168" formatCode="[$€-2]\ #,##0;[Red]\-[$€-2]\ #,##0"/>
  </numFmts>
  <fonts count="25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u/>
      <sz val="10"/>
      <name val="Arial"/>
      <family val="2"/>
      <charset val="161"/>
    </font>
    <font>
      <b/>
      <u/>
      <sz val="9"/>
      <name val="Arial"/>
      <family val="2"/>
      <charset val="161"/>
    </font>
    <font>
      <b/>
      <u/>
      <sz val="12"/>
      <name val="Arial"/>
      <family val="2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5" fontId="2" fillId="0" borderId="6" xfId="2" applyNumberFormat="1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0" xfId="2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6" fontId="8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164" fontId="13" fillId="0" borderId="26" xfId="0" applyNumberFormat="1" applyFont="1" applyBorder="1"/>
    <xf numFmtId="0" fontId="13" fillId="0" borderId="0" xfId="0" applyFont="1"/>
    <xf numFmtId="166" fontId="13" fillId="0" borderId="0" xfId="0" applyNumberFormat="1" applyFont="1" applyAlignment="1">
      <alignment horizontal="left"/>
    </xf>
    <xf numFmtId="0" fontId="19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0" fillId="0" borderId="0" xfId="0" applyFont="1"/>
    <xf numFmtId="14" fontId="0" fillId="0" borderId="0" xfId="0" applyNumberFormat="1" applyAlignment="1">
      <alignment horizontal="left"/>
    </xf>
    <xf numFmtId="0" fontId="17" fillId="0" borderId="0" xfId="0" applyFont="1"/>
    <xf numFmtId="0" fontId="13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/>
    <xf numFmtId="3" fontId="14" fillId="0" borderId="0" xfId="0" applyNumberFormat="1" applyFont="1" applyBorder="1" applyAlignment="1">
      <alignment wrapText="1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14" fillId="0" borderId="0" xfId="0" applyNumberFormat="1" applyFont="1" applyBorder="1" applyAlignment="1"/>
    <xf numFmtId="0" fontId="17" fillId="0" borderId="0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1" fontId="11" fillId="0" borderId="34" xfId="0" applyNumberFormat="1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" fontId="11" fillId="0" borderId="34" xfId="0" applyNumberFormat="1" applyFont="1" applyBorder="1" applyAlignment="1">
      <alignment horizontal="right"/>
    </xf>
    <xf numFmtId="164" fontId="13" fillId="0" borderId="9" xfId="0" applyNumberFormat="1" applyFont="1" applyBorder="1"/>
    <xf numFmtId="164" fontId="13" fillId="0" borderId="9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4" fontId="2" fillId="0" borderId="9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14" fillId="0" borderId="9" xfId="0" applyNumberFormat="1" applyFont="1" applyBorder="1"/>
    <xf numFmtId="164" fontId="14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left"/>
    </xf>
    <xf numFmtId="164" fontId="13" fillId="0" borderId="10" xfId="0" applyNumberFormat="1" applyFont="1" applyBorder="1"/>
    <xf numFmtId="0" fontId="2" fillId="0" borderId="26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15" xfId="0" applyFont="1" applyBorder="1"/>
    <xf numFmtId="0" fontId="2" fillId="0" borderId="11" xfId="0" applyFont="1" applyBorder="1"/>
    <xf numFmtId="164" fontId="2" fillId="0" borderId="45" xfId="0" applyNumberFormat="1" applyFont="1" applyBorder="1"/>
    <xf numFmtId="164" fontId="3" fillId="0" borderId="46" xfId="0" applyNumberFormat="1" applyFont="1" applyBorder="1" applyAlignment="1">
      <alignment horizontal="left"/>
    </xf>
    <xf numFmtId="164" fontId="2" fillId="0" borderId="6" xfId="0" applyNumberFormat="1" applyFont="1" applyBorder="1"/>
    <xf numFmtId="165" fontId="0" fillId="0" borderId="26" xfId="0" applyNumberFormat="1" applyBorder="1"/>
    <xf numFmtId="165" fontId="11" fillId="0" borderId="26" xfId="0" applyNumberFormat="1" applyFont="1" applyBorder="1"/>
    <xf numFmtId="0" fontId="17" fillId="0" borderId="9" xfId="0" applyFont="1" applyBorder="1" applyAlignment="1">
      <alignment horizontal="center"/>
    </xf>
    <xf numFmtId="164" fontId="2" fillId="0" borderId="26" xfId="0" applyNumberFormat="1" applyFont="1" applyBorder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6" fontId="13" fillId="0" borderId="0" xfId="0" applyNumberFormat="1" applyFont="1" applyAlignment="1"/>
    <xf numFmtId="1" fontId="4" fillId="0" borderId="3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3" fillId="0" borderId="34" xfId="0" applyNumberFormat="1" applyFont="1" applyBorder="1" applyAlignment="1">
      <alignment horizontal="center"/>
    </xf>
    <xf numFmtId="0" fontId="12" fillId="0" borderId="0" xfId="0" applyFont="1"/>
    <xf numFmtId="164" fontId="2" fillId="0" borderId="14" xfId="0" applyNumberFormat="1" applyFont="1" applyBorder="1"/>
    <xf numFmtId="0" fontId="3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/>
    </xf>
    <xf numFmtId="164" fontId="3" fillId="0" borderId="28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26" xfId="2" applyNumberFormat="1" applyFont="1" applyBorder="1" applyAlignment="1">
      <alignment horizontal="center"/>
    </xf>
    <xf numFmtId="164" fontId="2" fillId="0" borderId="40" xfId="0" applyNumberFormat="1" applyFont="1" applyBorder="1"/>
    <xf numFmtId="164" fontId="13" fillId="0" borderId="40" xfId="0" applyNumberFormat="1" applyFont="1" applyBorder="1"/>
    <xf numFmtId="0" fontId="3" fillId="0" borderId="17" xfId="0" applyFont="1" applyBorder="1" applyAlignment="1">
      <alignment horizontal="center" vertical="center" wrapText="1"/>
    </xf>
    <xf numFmtId="164" fontId="2" fillId="0" borderId="41" xfId="0" applyNumberFormat="1" applyFont="1" applyBorder="1"/>
    <xf numFmtId="164" fontId="2" fillId="0" borderId="55" xfId="0" applyNumberFormat="1" applyFont="1" applyBorder="1"/>
    <xf numFmtId="164" fontId="3" fillId="0" borderId="47" xfId="0" applyNumberFormat="1" applyFont="1" applyBorder="1" applyAlignment="1">
      <alignment horizontal="left"/>
    </xf>
    <xf numFmtId="10" fontId="17" fillId="0" borderId="30" xfId="1" applyNumberFormat="1" applyBorder="1"/>
    <xf numFmtId="10" fontId="17" fillId="0" borderId="26" xfId="1" applyNumberFormat="1" applyBorder="1"/>
    <xf numFmtId="10" fontId="17" fillId="0" borderId="48" xfId="1" applyNumberFormat="1" applyBorder="1"/>
    <xf numFmtId="10" fontId="11" fillId="0" borderId="27" xfId="1" applyNumberFormat="1" applyFont="1" applyBorder="1"/>
    <xf numFmtId="1" fontId="14" fillId="0" borderId="34" xfId="0" applyNumberFormat="1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4" fillId="0" borderId="34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10" fontId="0" fillId="0" borderId="26" xfId="0" applyNumberForma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4" fillId="0" borderId="19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3" fillId="0" borderId="39" xfId="0" applyNumberFormat="1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/>
    <xf numFmtId="0" fontId="0" fillId="0" borderId="5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24" xfId="0" applyBorder="1"/>
    <xf numFmtId="0" fontId="0" fillId="0" borderId="23" xfId="0" applyBorder="1"/>
    <xf numFmtId="0" fontId="11" fillId="0" borderId="24" xfId="0" applyFont="1" applyBorder="1"/>
    <xf numFmtId="0" fontId="0" fillId="0" borderId="5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/>
    </xf>
    <xf numFmtId="10" fontId="11" fillId="0" borderId="37" xfId="1" applyNumberFormat="1" applyFont="1" applyBorder="1"/>
    <xf numFmtId="10" fontId="17" fillId="0" borderId="7" xfId="1" applyNumberFormat="1" applyBorder="1"/>
    <xf numFmtId="0" fontId="3" fillId="0" borderId="50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/>
    </xf>
    <xf numFmtId="0" fontId="11" fillId="0" borderId="0" xfId="0" applyFont="1" applyFill="1"/>
    <xf numFmtId="10" fontId="17" fillId="0" borderId="52" xfId="1" applyNumberFormat="1" applyBorder="1"/>
    <xf numFmtId="10" fontId="17" fillId="0" borderId="29" xfId="1" applyNumberFormat="1" applyBorder="1"/>
    <xf numFmtId="10" fontId="17" fillId="0" borderId="49" xfId="1" applyNumberFormat="1" applyBorder="1"/>
    <xf numFmtId="10" fontId="11" fillId="0" borderId="35" xfId="1" applyNumberFormat="1" applyFont="1" applyBorder="1"/>
    <xf numFmtId="10" fontId="17" fillId="0" borderId="37" xfId="1" applyNumberFormat="1" applyBorder="1"/>
    <xf numFmtId="0" fontId="0" fillId="0" borderId="30" xfId="0" applyBorder="1"/>
    <xf numFmtId="10" fontId="11" fillId="0" borderId="28" xfId="1" applyNumberFormat="1" applyFont="1" applyBorder="1"/>
    <xf numFmtId="164" fontId="2" fillId="0" borderId="50" xfId="0" applyNumberFormat="1" applyFont="1" applyBorder="1" applyAlignment="1">
      <alignment horizontal="left"/>
    </xf>
    <xf numFmtId="164" fontId="3" fillId="0" borderId="38" xfId="0" applyNumberFormat="1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5" fillId="0" borderId="36" xfId="0" applyFont="1" applyBorder="1" applyAlignment="1">
      <alignment horizontal="left"/>
    </xf>
    <xf numFmtId="164" fontId="2" fillId="0" borderId="18" xfId="0" applyNumberFormat="1" applyFont="1" applyBorder="1" applyAlignment="1">
      <alignment horizontal="left"/>
    </xf>
    <xf numFmtId="164" fontId="2" fillId="0" borderId="57" xfId="0" applyNumberFormat="1" applyFont="1" applyBorder="1"/>
    <xf numFmtId="0" fontId="14" fillId="0" borderId="0" xfId="0" applyFont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0" fontId="17" fillId="0" borderId="33" xfId="1" applyNumberFormat="1" applyBorder="1"/>
    <xf numFmtId="10" fontId="17" fillId="0" borderId="42" xfId="1" applyNumberFormat="1" applyBorder="1"/>
    <xf numFmtId="166" fontId="13" fillId="0" borderId="0" xfId="0" applyNumberFormat="1" applyFont="1" applyAlignment="1">
      <alignment horizontal="left"/>
    </xf>
    <xf numFmtId="10" fontId="17" fillId="0" borderId="44" xfId="1" applyNumberFormat="1" applyBorder="1"/>
    <xf numFmtId="166" fontId="13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/>
    <xf numFmtId="165" fontId="2" fillId="0" borderId="27" xfId="2" applyNumberFormat="1" applyFont="1" applyBorder="1" applyAlignment="1">
      <alignment horizontal="center"/>
    </xf>
    <xf numFmtId="164" fontId="0" fillId="0" borderId="0" xfId="0" applyNumberFormat="1"/>
    <xf numFmtId="0" fontId="2" fillId="0" borderId="10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65" fontId="2" fillId="0" borderId="26" xfId="0" applyNumberFormat="1" applyFont="1" applyBorder="1"/>
    <xf numFmtId="165" fontId="2" fillId="0" borderId="9" xfId="2" applyNumberFormat="1" applyFont="1" applyBorder="1"/>
    <xf numFmtId="165" fontId="2" fillId="0" borderId="10" xfId="2" applyNumberFormat="1" applyFont="1" applyBorder="1"/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top" wrapText="1"/>
    </xf>
    <xf numFmtId="0" fontId="5" fillId="0" borderId="9" xfId="0" applyFont="1" applyFill="1" applyBorder="1"/>
    <xf numFmtId="165" fontId="13" fillId="0" borderId="26" xfId="0" applyNumberFormat="1" applyFont="1" applyBorder="1" applyAlignment="1">
      <alignment wrapText="1"/>
    </xf>
    <xf numFmtId="165" fontId="14" fillId="0" borderId="7" xfId="0" applyNumberFormat="1" applyFont="1" applyBorder="1" applyAlignment="1">
      <alignment wrapText="1"/>
    </xf>
    <xf numFmtId="0" fontId="3" fillId="0" borderId="31" xfId="0" applyFont="1" applyBorder="1" applyAlignment="1">
      <alignment horizontal="left" vertical="center" wrapText="1"/>
    </xf>
    <xf numFmtId="165" fontId="14" fillId="0" borderId="27" xfId="0" applyNumberFormat="1" applyFont="1" applyBorder="1" applyAlignment="1">
      <alignment wrapText="1"/>
    </xf>
    <xf numFmtId="1" fontId="11" fillId="0" borderId="34" xfId="0" applyNumberFormat="1" applyFont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3" fillId="0" borderId="8" xfId="0" applyFont="1" applyBorder="1"/>
    <xf numFmtId="165" fontId="5" fillId="0" borderId="9" xfId="0" applyNumberFormat="1" applyFont="1" applyBorder="1" applyAlignment="1">
      <alignment wrapText="1"/>
    </xf>
    <xf numFmtId="0" fontId="0" fillId="0" borderId="8" xfId="0" applyBorder="1"/>
    <xf numFmtId="0" fontId="0" fillId="0" borderId="9" xfId="0" applyBorder="1"/>
    <xf numFmtId="165" fontId="13" fillId="0" borderId="9" xfId="2" applyNumberFormat="1" applyFont="1" applyBorder="1" applyAlignment="1">
      <alignment horizontal="center"/>
    </xf>
    <xf numFmtId="0" fontId="13" fillId="0" borderId="11" xfId="0" applyFont="1" applyBorder="1"/>
    <xf numFmtId="165" fontId="5" fillId="0" borderId="10" xfId="0" applyNumberFormat="1" applyFont="1" applyBorder="1" applyAlignment="1">
      <alignment wrapText="1"/>
    </xf>
    <xf numFmtId="0" fontId="13" fillId="0" borderId="15" xfId="0" applyFont="1" applyBorder="1"/>
    <xf numFmtId="165" fontId="5" fillId="0" borderId="6" xfId="0" applyNumberFormat="1" applyFont="1" applyBorder="1" applyAlignment="1">
      <alignment wrapText="1"/>
    </xf>
    <xf numFmtId="0" fontId="14" fillId="0" borderId="31" xfId="0" applyFont="1" applyBorder="1" applyAlignment="1">
      <alignment horizontal="left" vertical="center" wrapText="1"/>
    </xf>
    <xf numFmtId="165" fontId="4" fillId="0" borderId="34" xfId="0" applyNumberFormat="1" applyFont="1" applyBorder="1" applyAlignment="1">
      <alignment wrapText="1"/>
    </xf>
    <xf numFmtId="165" fontId="5" fillId="0" borderId="34" xfId="0" applyNumberFormat="1" applyFont="1" applyBorder="1" applyAlignment="1">
      <alignment wrapText="1"/>
    </xf>
    <xf numFmtId="165" fontId="5" fillId="0" borderId="34" xfId="0" applyNumberFormat="1" applyFont="1" applyFill="1" applyBorder="1" applyAlignment="1">
      <alignment wrapText="1"/>
    </xf>
    <xf numFmtId="0" fontId="0" fillId="0" borderId="15" xfId="0" applyBorder="1"/>
    <xf numFmtId="0" fontId="0" fillId="0" borderId="6" xfId="0" applyBorder="1"/>
    <xf numFmtId="165" fontId="14" fillId="0" borderId="6" xfId="2" applyNumberFormat="1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0" fontId="13" fillId="0" borderId="13" xfId="0" applyFont="1" applyBorder="1"/>
    <xf numFmtId="0" fontId="14" fillId="0" borderId="8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9" xfId="0" applyFont="1" applyBorder="1"/>
    <xf numFmtId="0" fontId="15" fillId="0" borderId="9" xfId="0" applyFont="1" applyBorder="1" applyAlignment="1">
      <alignment horizontal="center"/>
    </xf>
    <xf numFmtId="0" fontId="10" fillId="0" borderId="8" xfId="0" applyFont="1" applyBorder="1"/>
    <xf numFmtId="164" fontId="18" fillId="0" borderId="9" xfId="0" applyNumberFormat="1" applyFont="1" applyBorder="1"/>
    <xf numFmtId="165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0" fontId="10" fillId="0" borderId="11" xfId="0" applyFont="1" applyBorder="1"/>
    <xf numFmtId="164" fontId="18" fillId="0" borderId="10" xfId="0" applyNumberFormat="1" applyFont="1" applyBorder="1"/>
    <xf numFmtId="165" fontId="13" fillId="0" borderId="10" xfId="2" applyNumberFormat="1" applyFont="1" applyBorder="1" applyAlignment="1">
      <alignment horizontal="center"/>
    </xf>
    <xf numFmtId="0" fontId="10" fillId="0" borderId="15" xfId="0" applyFont="1" applyBorder="1"/>
    <xf numFmtId="164" fontId="18" fillId="0" borderId="6" xfId="0" applyNumberFormat="1" applyFont="1" applyBorder="1"/>
    <xf numFmtId="164" fontId="13" fillId="0" borderId="6" xfId="0" applyNumberFormat="1" applyFont="1" applyBorder="1"/>
    <xf numFmtId="165" fontId="13" fillId="0" borderId="6" xfId="2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15" fillId="0" borderId="31" xfId="0" applyFont="1" applyBorder="1" applyAlignment="1">
      <alignment wrapText="1"/>
    </xf>
    <xf numFmtId="164" fontId="18" fillId="0" borderId="34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4" fillId="0" borderId="34" xfId="0" applyNumberFormat="1" applyFont="1" applyBorder="1" applyAlignment="1">
      <alignment horizontal="center"/>
    </xf>
    <xf numFmtId="165" fontId="14" fillId="0" borderId="34" xfId="2" applyNumberFormat="1" applyFont="1" applyBorder="1" applyAlignment="1">
      <alignment horizontal="center"/>
    </xf>
    <xf numFmtId="165" fontId="3" fillId="0" borderId="34" xfId="2" applyNumberFormat="1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2" fillId="0" borderId="34" xfId="2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165" fontId="3" fillId="0" borderId="27" xfId="2" applyNumberFormat="1" applyFont="1" applyBorder="1" applyAlignment="1">
      <alignment horizontal="center"/>
    </xf>
    <xf numFmtId="164" fontId="18" fillId="0" borderId="34" xfId="0" applyNumberFormat="1" applyFont="1" applyBorder="1"/>
    <xf numFmtId="164" fontId="13" fillId="0" borderId="34" xfId="0" applyNumberFormat="1" applyFont="1" applyBorder="1"/>
    <xf numFmtId="164" fontId="14" fillId="0" borderId="34" xfId="0" applyNumberFormat="1" applyFont="1" applyBorder="1" applyAlignment="1"/>
    <xf numFmtId="164" fontId="14" fillId="0" borderId="34" xfId="0" applyNumberFormat="1" applyFont="1" applyBorder="1"/>
    <xf numFmtId="1" fontId="2" fillId="0" borderId="34" xfId="0" applyNumberFormat="1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168" fontId="14" fillId="0" borderId="34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wrapText="1"/>
    </xf>
    <xf numFmtId="0" fontId="13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/>
    <xf numFmtId="164" fontId="2" fillId="0" borderId="9" xfId="0" applyNumberFormat="1" applyFont="1" applyBorder="1" applyAlignment="1">
      <alignment horizontal="left"/>
    </xf>
    <xf numFmtId="164" fontId="14" fillId="0" borderId="9" xfId="0" applyNumberFormat="1" applyFont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0" fontId="3" fillId="0" borderId="37" xfId="0" applyNumberFormat="1" applyFont="1" applyFill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left"/>
    </xf>
    <xf numFmtId="0" fontId="11" fillId="0" borderId="8" xfId="0" applyFont="1" applyBorder="1"/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9" xfId="0" applyFont="1" applyBorder="1" applyAlignment="1">
      <alignment horizontal="left" vertical="center" wrapText="1"/>
    </xf>
    <xf numFmtId="165" fontId="11" fillId="0" borderId="37" xfId="0" applyNumberFormat="1" applyFont="1" applyBorder="1"/>
    <xf numFmtId="164" fontId="2" fillId="0" borderId="9" xfId="0" applyNumberFormat="1" applyFont="1" applyFill="1" applyBorder="1" applyAlignment="1">
      <alignment horizontal="center"/>
    </xf>
    <xf numFmtId="0" fontId="2" fillId="0" borderId="59" xfId="0" applyFont="1" applyBorder="1"/>
    <xf numFmtId="165" fontId="2" fillId="0" borderId="4" xfId="0" applyNumberFormat="1" applyFont="1" applyBorder="1"/>
    <xf numFmtId="1" fontId="14" fillId="0" borderId="5" xfId="0" applyNumberFormat="1" applyFont="1" applyBorder="1"/>
    <xf numFmtId="0" fontId="14" fillId="0" borderId="59" xfId="0" applyFont="1" applyBorder="1"/>
    <xf numFmtId="165" fontId="14" fillId="0" borderId="4" xfId="0" applyNumberFormat="1" applyFont="1" applyBorder="1"/>
    <xf numFmtId="1" fontId="2" fillId="0" borderId="59" xfId="0" applyNumberFormat="1" applyFont="1" applyBorder="1"/>
    <xf numFmtId="165" fontId="14" fillId="0" borderId="28" xfId="0" applyNumberFormat="1" applyFont="1" applyBorder="1"/>
    <xf numFmtId="0" fontId="2" fillId="0" borderId="4" xfId="0" applyFont="1" applyBorder="1"/>
    <xf numFmtId="1" fontId="2" fillId="0" borderId="5" xfId="0" applyNumberFormat="1" applyFont="1" applyBorder="1"/>
    <xf numFmtId="165" fontId="2" fillId="0" borderId="5" xfId="2" applyNumberFormat="1" applyFont="1" applyBorder="1"/>
    <xf numFmtId="165" fontId="14" fillId="0" borderId="5" xfId="2" applyNumberFormat="1" applyFont="1" applyBorder="1"/>
    <xf numFmtId="1" fontId="14" fillId="0" borderId="28" xfId="0" applyNumberFormat="1" applyFont="1" applyBorder="1"/>
    <xf numFmtId="1" fontId="2" fillId="0" borderId="59" xfId="0" applyNumberFormat="1" applyFont="1" applyBorder="1" applyAlignment="1">
      <alignment horizontal="center"/>
    </xf>
    <xf numFmtId="165" fontId="2" fillId="0" borderId="59" xfId="2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65" fontId="14" fillId="0" borderId="5" xfId="2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165" fontId="6" fillId="0" borderId="21" xfId="2" applyNumberFormat="1" applyFont="1" applyBorder="1" applyAlignment="1">
      <alignment horizontal="center"/>
    </xf>
    <xf numFmtId="165" fontId="6" fillId="0" borderId="65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0" fillId="0" borderId="49" xfId="0" applyBorder="1" applyAlignment="1">
      <alignment horizontal="left"/>
    </xf>
    <xf numFmtId="0" fontId="4" fillId="0" borderId="66" xfId="0" applyFont="1" applyBorder="1" applyAlignment="1"/>
    <xf numFmtId="0" fontId="4" fillId="0" borderId="67" xfId="0" applyFont="1" applyBorder="1" applyAlignment="1"/>
    <xf numFmtId="0" fontId="1" fillId="0" borderId="0" xfId="0" applyFont="1"/>
    <xf numFmtId="164" fontId="2" fillId="0" borderId="10" xfId="0" applyNumberFormat="1" applyFont="1" applyFill="1" applyBorder="1"/>
    <xf numFmtId="10" fontId="2" fillId="0" borderId="30" xfId="0" applyNumberFormat="1" applyFont="1" applyBorder="1"/>
    <xf numFmtId="10" fontId="2" fillId="0" borderId="4" xfId="0" applyNumberFormat="1" applyFont="1" applyBorder="1"/>
    <xf numFmtId="10" fontId="14" fillId="0" borderId="7" xfId="0" applyNumberFormat="1" applyFont="1" applyBorder="1"/>
    <xf numFmtId="165" fontId="2" fillId="0" borderId="21" xfId="2" applyNumberFormat="1" applyFont="1" applyBorder="1"/>
    <xf numFmtId="165" fontId="2" fillId="0" borderId="59" xfId="2" applyNumberFormat="1" applyFont="1" applyBorder="1"/>
    <xf numFmtId="0" fontId="6" fillId="0" borderId="9" xfId="0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2" fillId="0" borderId="28" xfId="0" applyNumberFormat="1" applyFont="1" applyBorder="1"/>
    <xf numFmtId="164" fontId="14" fillId="0" borderId="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165" fontId="2" fillId="0" borderId="30" xfId="2" applyNumberFormat="1" applyFont="1" applyBorder="1" applyAlignment="1">
      <alignment horizontal="center"/>
    </xf>
    <xf numFmtId="165" fontId="2" fillId="0" borderId="37" xfId="2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65" fontId="5" fillId="0" borderId="48" xfId="0" applyNumberFormat="1" applyFont="1" applyFill="1" applyBorder="1" applyAlignment="1">
      <alignment wrapText="1"/>
    </xf>
    <xf numFmtId="1" fontId="4" fillId="0" borderId="34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wrapText="1"/>
    </xf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26" xfId="0" applyFill="1" applyBorder="1"/>
    <xf numFmtId="0" fontId="0" fillId="0" borderId="0" xfId="0" applyFill="1"/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1" fontId="14" fillId="0" borderId="34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2" fillId="0" borderId="17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0" borderId="0" xfId="0" applyFont="1" applyFill="1"/>
    <xf numFmtId="0" fontId="15" fillId="0" borderId="31" xfId="0" applyFont="1" applyFill="1" applyBorder="1" applyAlignment="1">
      <alignment wrapText="1"/>
    </xf>
    <xf numFmtId="164" fontId="18" fillId="0" borderId="34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165" fontId="14" fillId="0" borderId="34" xfId="2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5" fontId="3" fillId="0" borderId="34" xfId="2" applyNumberFormat="1" applyFont="1" applyFill="1" applyBorder="1" applyAlignment="1">
      <alignment horizontal="center"/>
    </xf>
    <xf numFmtId="165" fontId="2" fillId="0" borderId="65" xfId="2" applyNumberFormat="1" applyFont="1" applyFill="1" applyBorder="1" applyAlignment="1">
      <alignment horizontal="center"/>
    </xf>
    <xf numFmtId="165" fontId="14" fillId="0" borderId="27" xfId="2" applyNumberFormat="1" applyFont="1" applyFill="1" applyBorder="1" applyAlignment="1">
      <alignment horizontal="center"/>
    </xf>
    <xf numFmtId="165" fontId="2" fillId="0" borderId="34" xfId="2" applyNumberFormat="1" applyFont="1" applyFill="1" applyBorder="1" applyAlignment="1">
      <alignment horizontal="center"/>
    </xf>
    <xf numFmtId="1" fontId="0" fillId="0" borderId="0" xfId="0" applyNumberFormat="1"/>
    <xf numFmtId="1" fontId="14" fillId="0" borderId="5" xfId="0" applyNumberFormat="1" applyFont="1" applyFill="1" applyBorder="1"/>
    <xf numFmtId="10" fontId="2" fillId="0" borderId="26" xfId="0" applyNumberFormat="1" applyFont="1" applyBorder="1"/>
    <xf numFmtId="10" fontId="2" fillId="0" borderId="37" xfId="0" applyNumberFormat="1" applyFont="1" applyBorder="1"/>
    <xf numFmtId="165" fontId="14" fillId="0" borderId="37" xfId="0" applyNumberFormat="1" applyFont="1" applyBorder="1" applyAlignment="1">
      <alignment wrapText="1"/>
    </xf>
    <xf numFmtId="165" fontId="14" fillId="0" borderId="28" xfId="0" applyNumberFormat="1" applyFont="1" applyBorder="1" applyAlignment="1">
      <alignment wrapText="1"/>
    </xf>
    <xf numFmtId="0" fontId="14" fillId="0" borderId="0" xfId="0" applyFont="1" applyFill="1" applyAlignment="1"/>
    <xf numFmtId="1" fontId="0" fillId="0" borderId="0" xfId="0" applyNumberFormat="1" applyBorder="1"/>
    <xf numFmtId="165" fontId="5" fillId="0" borderId="0" xfId="0" applyNumberFormat="1" applyFont="1" applyFill="1" applyBorder="1" applyAlignment="1">
      <alignment wrapText="1"/>
    </xf>
    <xf numFmtId="1" fontId="1" fillId="0" borderId="0" xfId="0" applyNumberFormat="1" applyFont="1"/>
    <xf numFmtId="10" fontId="1" fillId="0" borderId="0" xfId="0" applyNumberFormat="1" applyFont="1"/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5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0" fillId="0" borderId="3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5" fontId="13" fillId="0" borderId="0" xfId="0" applyNumberFormat="1" applyFont="1" applyAlignment="1">
      <alignment horizontal="left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15" fontId="17" fillId="0" borderId="0" xfId="0" applyNumberFormat="1" applyFont="1" applyAlignment="1">
      <alignment horizontal="left"/>
    </xf>
    <xf numFmtId="0" fontId="14" fillId="0" borderId="4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4" fillId="0" borderId="35" xfId="0" applyFont="1" applyBorder="1" applyAlignment="1">
      <alignment horizontal="left"/>
    </xf>
    <xf numFmtId="0" fontId="14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J32" sqref="J32"/>
    </sheetView>
  </sheetViews>
  <sheetFormatPr defaultRowHeight="12.75"/>
  <cols>
    <col min="1" max="1" width="16" customWidth="1"/>
    <col min="2" max="2" width="8" customWidth="1"/>
    <col min="3" max="3" width="7.7109375" customWidth="1"/>
    <col min="4" max="4" width="8.42578125" customWidth="1"/>
    <col min="5" max="5" width="7.28515625" customWidth="1"/>
    <col min="6" max="6" width="6.28515625" customWidth="1"/>
    <col min="7" max="7" width="7" customWidth="1"/>
    <col min="8" max="8" width="7.5703125" customWidth="1"/>
    <col min="9" max="9" width="8.140625" customWidth="1"/>
    <col min="10" max="10" width="7.85546875" customWidth="1"/>
    <col min="11" max="11" width="8.5703125" customWidth="1"/>
    <col min="12" max="12" width="7.42578125" customWidth="1"/>
    <col min="13" max="13" width="6.5703125" customWidth="1"/>
    <col min="14" max="14" width="7" customWidth="1"/>
    <col min="15" max="15" width="7.7109375" customWidth="1"/>
    <col min="16" max="17" width="7.5703125" bestFit="1" customWidth="1"/>
    <col min="18" max="18" width="10.42578125" customWidth="1"/>
  </cols>
  <sheetData>
    <row r="1" spans="1:18">
      <c r="A1" s="124" t="s">
        <v>98</v>
      </c>
      <c r="P1" s="386"/>
      <c r="Q1" s="386"/>
      <c r="R1" s="386"/>
    </row>
    <row r="2" spans="1:18">
      <c r="A2" s="26"/>
      <c r="B2" s="29"/>
      <c r="C2" s="29"/>
      <c r="D2" s="45" t="s">
        <v>97</v>
      </c>
      <c r="E2" s="45"/>
      <c r="F2" s="45"/>
      <c r="G2" s="45"/>
      <c r="H2" s="45"/>
      <c r="I2" s="45"/>
      <c r="J2" s="45"/>
      <c r="K2" s="45"/>
      <c r="L2" s="45"/>
      <c r="M2" s="45"/>
      <c r="N2" s="29"/>
      <c r="O2" s="29"/>
      <c r="P2" s="29"/>
      <c r="Q2" s="29"/>
      <c r="R2" s="29"/>
    </row>
    <row r="3" spans="1:18">
      <c r="A3" s="29"/>
      <c r="B3" s="29"/>
      <c r="C3" s="29"/>
      <c r="D3" s="177" t="s">
        <v>125</v>
      </c>
      <c r="E3" s="45"/>
      <c r="F3" s="45"/>
      <c r="G3" s="45"/>
      <c r="H3" s="45"/>
      <c r="I3" s="45"/>
      <c r="J3" s="45"/>
      <c r="K3" s="45"/>
      <c r="L3" s="45"/>
      <c r="M3" s="45"/>
      <c r="N3" s="29"/>
      <c r="O3" s="29"/>
      <c r="P3" s="29"/>
      <c r="Q3" s="29"/>
      <c r="R3" s="29"/>
    </row>
    <row r="4" spans="1:18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390" t="s">
        <v>0</v>
      </c>
      <c r="B5" s="385" t="s">
        <v>8</v>
      </c>
      <c r="C5" s="385"/>
      <c r="D5" s="385"/>
      <c r="E5" s="385"/>
      <c r="F5" s="385"/>
      <c r="G5" s="385"/>
      <c r="H5" s="385"/>
      <c r="I5" s="385" t="s">
        <v>9</v>
      </c>
      <c r="J5" s="385"/>
      <c r="K5" s="385"/>
      <c r="L5" s="385"/>
      <c r="M5" s="385"/>
      <c r="N5" s="385"/>
      <c r="O5" s="385"/>
      <c r="P5" s="392" t="s">
        <v>121</v>
      </c>
      <c r="Q5" s="393"/>
      <c r="R5" s="388" t="s">
        <v>120</v>
      </c>
    </row>
    <row r="6" spans="1:18" ht="18" customHeight="1">
      <c r="A6" s="391"/>
      <c r="B6" s="181" t="s">
        <v>1</v>
      </c>
      <c r="C6" s="181" t="s">
        <v>2</v>
      </c>
      <c r="D6" s="181" t="s">
        <v>3</v>
      </c>
      <c r="E6" s="181" t="s">
        <v>4</v>
      </c>
      <c r="F6" s="181" t="s">
        <v>5</v>
      </c>
      <c r="G6" s="181" t="s">
        <v>6</v>
      </c>
      <c r="H6" s="181" t="s">
        <v>10</v>
      </c>
      <c r="I6" s="182" t="s">
        <v>1</v>
      </c>
      <c r="J6" s="182" t="s">
        <v>2</v>
      </c>
      <c r="K6" s="182" t="s">
        <v>3</v>
      </c>
      <c r="L6" s="182" t="s">
        <v>4</v>
      </c>
      <c r="M6" s="182" t="s">
        <v>5</v>
      </c>
      <c r="N6" s="182" t="s">
        <v>6</v>
      </c>
      <c r="O6" s="182" t="s">
        <v>10</v>
      </c>
      <c r="P6" s="182">
        <v>2016</v>
      </c>
      <c r="Q6" s="325">
        <v>2015</v>
      </c>
      <c r="R6" s="389"/>
    </row>
    <row r="7" spans="1:18" ht="15.95" customHeight="1">
      <c r="A7" s="16" t="s">
        <v>20</v>
      </c>
      <c r="B7" s="27">
        <v>2457</v>
      </c>
      <c r="C7" s="27">
        <v>1894</v>
      </c>
      <c r="D7" s="27">
        <v>3538</v>
      </c>
      <c r="E7" s="27">
        <v>2771</v>
      </c>
      <c r="F7" s="27">
        <v>2547</v>
      </c>
      <c r="G7" s="27">
        <f t="shared" ref="G7:G12" si="0">SUM(B7:F7)</f>
        <v>13207</v>
      </c>
      <c r="H7" s="183">
        <f t="shared" ref="H7:H12" si="1">+G7/P7</f>
        <v>0.46966571834992887</v>
      </c>
      <c r="I7" s="27">
        <v>2403</v>
      </c>
      <c r="J7" s="27">
        <v>1934</v>
      </c>
      <c r="K7" s="27">
        <v>4664</v>
      </c>
      <c r="L7" s="27">
        <v>2778</v>
      </c>
      <c r="M7" s="27">
        <v>3134</v>
      </c>
      <c r="N7" s="27">
        <f t="shared" ref="N7:N12" si="2">SUM(I7:M7)</f>
        <v>14913</v>
      </c>
      <c r="O7" s="183">
        <f t="shared" ref="O7:O12" si="3">+N7/P7</f>
        <v>0.53033428165007113</v>
      </c>
      <c r="P7" s="27">
        <f t="shared" ref="P7:P12" si="4">+G7+N7</f>
        <v>28120</v>
      </c>
      <c r="Q7" s="184">
        <v>31236</v>
      </c>
      <c r="R7" s="169">
        <f t="shared" ref="R7:R12" si="5">+(P7/Q7)-1</f>
        <v>-9.9756690997566899E-2</v>
      </c>
    </row>
    <row r="8" spans="1:18" ht="15.95" customHeight="1">
      <c r="A8" s="16" t="s">
        <v>21</v>
      </c>
      <c r="B8" s="27">
        <v>2399</v>
      </c>
      <c r="C8" s="27">
        <v>1899</v>
      </c>
      <c r="D8" s="27">
        <v>3457</v>
      </c>
      <c r="E8" s="27">
        <v>2820</v>
      </c>
      <c r="F8" s="27">
        <v>2574</v>
      </c>
      <c r="G8" s="27">
        <f t="shared" si="0"/>
        <v>13149</v>
      </c>
      <c r="H8" s="183">
        <f t="shared" si="1"/>
        <v>0.46955683319644326</v>
      </c>
      <c r="I8" s="27">
        <v>2335</v>
      </c>
      <c r="J8" s="27">
        <v>1901</v>
      </c>
      <c r="K8" s="27">
        <v>4618</v>
      </c>
      <c r="L8" s="27">
        <v>2829</v>
      </c>
      <c r="M8" s="27">
        <v>3171</v>
      </c>
      <c r="N8" s="27">
        <f t="shared" si="2"/>
        <v>14854</v>
      </c>
      <c r="O8" s="183">
        <f t="shared" si="3"/>
        <v>0.53044316680355674</v>
      </c>
      <c r="P8" s="27">
        <f t="shared" si="4"/>
        <v>28003</v>
      </c>
      <c r="Q8" s="184">
        <v>30900</v>
      </c>
      <c r="R8" s="169">
        <f t="shared" si="5"/>
        <v>-9.3754045307443357E-2</v>
      </c>
    </row>
    <row r="9" spans="1:18" ht="15.95" customHeight="1">
      <c r="A9" s="16" t="s">
        <v>22</v>
      </c>
      <c r="B9" s="27">
        <v>2252</v>
      </c>
      <c r="C9" s="27">
        <v>1704</v>
      </c>
      <c r="D9" s="27">
        <v>3276</v>
      </c>
      <c r="E9" s="27">
        <v>2615</v>
      </c>
      <c r="F9" s="27">
        <v>2090</v>
      </c>
      <c r="G9" s="27">
        <f t="shared" si="0"/>
        <v>11937</v>
      </c>
      <c r="H9" s="183">
        <f t="shared" si="1"/>
        <v>0.47112917867150805</v>
      </c>
      <c r="I9" s="27">
        <v>2249</v>
      </c>
      <c r="J9" s="27">
        <v>1689</v>
      </c>
      <c r="K9" s="27">
        <v>4465</v>
      </c>
      <c r="L9" s="27">
        <v>2581</v>
      </c>
      <c r="M9" s="27">
        <v>2416</v>
      </c>
      <c r="N9" s="27">
        <f t="shared" si="2"/>
        <v>13400</v>
      </c>
      <c r="O9" s="183">
        <f t="shared" si="3"/>
        <v>0.52887082132849195</v>
      </c>
      <c r="P9" s="27">
        <f t="shared" si="4"/>
        <v>25337</v>
      </c>
      <c r="Q9" s="184">
        <v>30314</v>
      </c>
      <c r="R9" s="169">
        <f t="shared" si="5"/>
        <v>-0.16418156627300917</v>
      </c>
    </row>
    <row r="10" spans="1:18" ht="15.95" customHeight="1">
      <c r="A10" s="16" t="s">
        <v>23</v>
      </c>
      <c r="B10" s="27">
        <v>2175</v>
      </c>
      <c r="C10" s="27">
        <v>1352</v>
      </c>
      <c r="D10" s="27">
        <v>1836</v>
      </c>
      <c r="E10" s="27">
        <v>2233</v>
      </c>
      <c r="F10" s="27">
        <v>1290</v>
      </c>
      <c r="G10" s="27">
        <f t="shared" si="0"/>
        <v>8886</v>
      </c>
      <c r="H10" s="183">
        <f t="shared" si="1"/>
        <v>0.47440072606908334</v>
      </c>
      <c r="I10" s="27">
        <v>2289</v>
      </c>
      <c r="J10" s="27">
        <v>1353</v>
      </c>
      <c r="K10" s="27">
        <v>2699</v>
      </c>
      <c r="L10" s="27">
        <v>2237</v>
      </c>
      <c r="M10" s="27">
        <v>1267</v>
      </c>
      <c r="N10" s="27">
        <f t="shared" si="2"/>
        <v>9845</v>
      </c>
      <c r="O10" s="183">
        <f t="shared" si="3"/>
        <v>0.52559927393091666</v>
      </c>
      <c r="P10" s="27">
        <f t="shared" si="4"/>
        <v>18731</v>
      </c>
      <c r="Q10" s="184">
        <v>22988</v>
      </c>
      <c r="R10" s="169">
        <f t="shared" si="5"/>
        <v>-0.18518357403862884</v>
      </c>
    </row>
    <row r="11" spans="1:18" ht="15.95" customHeight="1">
      <c r="A11" s="16" t="s">
        <v>24</v>
      </c>
      <c r="B11" s="27">
        <v>1908</v>
      </c>
      <c r="C11" s="27">
        <v>1095</v>
      </c>
      <c r="D11" s="27">
        <v>991</v>
      </c>
      <c r="E11" s="27">
        <v>1968</v>
      </c>
      <c r="F11" s="27">
        <v>867</v>
      </c>
      <c r="G11" s="27">
        <f t="shared" si="0"/>
        <v>6829</v>
      </c>
      <c r="H11" s="183">
        <f t="shared" si="1"/>
        <v>0.46361167684996607</v>
      </c>
      <c r="I11" s="27">
        <v>2286</v>
      </c>
      <c r="J11" s="27">
        <v>1171</v>
      </c>
      <c r="K11" s="27">
        <v>1301</v>
      </c>
      <c r="L11" s="27">
        <v>2214</v>
      </c>
      <c r="M11" s="27">
        <v>929</v>
      </c>
      <c r="N11" s="27">
        <f t="shared" si="2"/>
        <v>7901</v>
      </c>
      <c r="O11" s="183">
        <f t="shared" si="3"/>
        <v>0.53638832315003393</v>
      </c>
      <c r="P11" s="184">
        <f t="shared" si="4"/>
        <v>14730</v>
      </c>
      <c r="Q11" s="184">
        <v>17637</v>
      </c>
      <c r="R11" s="169">
        <f t="shared" si="5"/>
        <v>-0.1648239496513012</v>
      </c>
    </row>
    <row r="12" spans="1:18" ht="15.95" customHeight="1" thickBot="1">
      <c r="A12" s="80" t="s">
        <v>25</v>
      </c>
      <c r="B12" s="20">
        <v>2035</v>
      </c>
      <c r="C12" s="20">
        <v>896</v>
      </c>
      <c r="D12" s="20">
        <v>330</v>
      </c>
      <c r="E12" s="20">
        <v>1852</v>
      </c>
      <c r="F12" s="20">
        <v>626</v>
      </c>
      <c r="G12" s="27">
        <f t="shared" si="0"/>
        <v>5739</v>
      </c>
      <c r="H12" s="183">
        <f t="shared" si="1"/>
        <v>0.41104426299957025</v>
      </c>
      <c r="I12" s="20">
        <v>2973</v>
      </c>
      <c r="J12" s="20">
        <v>1288</v>
      </c>
      <c r="K12" s="20">
        <f>408+1</f>
        <v>409</v>
      </c>
      <c r="L12" s="20">
        <v>2714</v>
      </c>
      <c r="M12" s="20">
        <v>839</v>
      </c>
      <c r="N12" s="27">
        <f t="shared" si="2"/>
        <v>8223</v>
      </c>
      <c r="O12" s="183">
        <f t="shared" si="3"/>
        <v>0.58895573700042969</v>
      </c>
      <c r="P12" s="184">
        <f t="shared" si="4"/>
        <v>13962</v>
      </c>
      <c r="Q12" s="189">
        <v>17842</v>
      </c>
      <c r="R12" s="169">
        <f t="shared" si="5"/>
        <v>-0.21746440981952697</v>
      </c>
    </row>
    <row r="13" spans="1:18" ht="15.95" customHeight="1">
      <c r="A13" s="387" t="s">
        <v>45</v>
      </c>
      <c r="B13" s="301"/>
      <c r="C13" s="301"/>
      <c r="D13" s="301"/>
      <c r="E13" s="301"/>
      <c r="F13" s="301"/>
      <c r="G13" s="301"/>
      <c r="H13" s="302"/>
      <c r="I13" s="301"/>
      <c r="J13" s="301"/>
      <c r="K13" s="301"/>
      <c r="L13" s="301"/>
      <c r="M13" s="301"/>
      <c r="N13" s="301"/>
      <c r="O13" s="302"/>
      <c r="P13" s="301"/>
      <c r="Q13" s="326"/>
      <c r="R13" s="303"/>
    </row>
    <row r="14" spans="1:18" ht="19.5" customHeight="1" thickBot="1">
      <c r="A14" s="384"/>
      <c r="B14" s="304">
        <f t="shared" ref="B14:G14" si="6">AVERAGE(B7:B12)</f>
        <v>2204.3333333333335</v>
      </c>
      <c r="C14" s="304">
        <f t="shared" si="6"/>
        <v>1473.3333333333333</v>
      </c>
      <c r="D14" s="304">
        <f t="shared" si="6"/>
        <v>2238</v>
      </c>
      <c r="E14" s="304">
        <f t="shared" si="6"/>
        <v>2376.5</v>
      </c>
      <c r="F14" s="304">
        <f t="shared" si="6"/>
        <v>1665.6666666666667</v>
      </c>
      <c r="G14" s="304">
        <f t="shared" si="6"/>
        <v>9957.8333333333339</v>
      </c>
      <c r="H14" s="305">
        <f t="shared" ref="H14:H22" si="7">+G14/P14</f>
        <v>0.46357549094915546</v>
      </c>
      <c r="I14" s="304">
        <f t="shared" ref="I14:N14" si="8">AVERAGE(I7:I12)</f>
        <v>2422.5</v>
      </c>
      <c r="J14" s="304">
        <f t="shared" si="8"/>
        <v>1556</v>
      </c>
      <c r="K14" s="304">
        <f t="shared" si="8"/>
        <v>3026</v>
      </c>
      <c r="L14" s="304">
        <f t="shared" si="8"/>
        <v>2558.8333333333335</v>
      </c>
      <c r="M14" s="304">
        <f t="shared" si="8"/>
        <v>1959.3333333333333</v>
      </c>
      <c r="N14" s="304">
        <f t="shared" si="8"/>
        <v>11522.666666666666</v>
      </c>
      <c r="O14" s="305">
        <f t="shared" ref="O14:O22" si="9">+N14/P14</f>
        <v>0.53642450905084449</v>
      </c>
      <c r="P14" s="304">
        <f>AVERAGE(P7:P12)</f>
        <v>21480.5</v>
      </c>
      <c r="Q14" s="327">
        <v>25152.833333333332</v>
      </c>
      <c r="R14" s="306">
        <f>+(P14/Q14)-1</f>
        <v>-0.14600078188673238</v>
      </c>
    </row>
    <row r="15" spans="1:18" ht="15.95" customHeight="1">
      <c r="A15" s="79" t="s">
        <v>26</v>
      </c>
      <c r="B15" s="28">
        <v>2101</v>
      </c>
      <c r="C15" s="28">
        <v>869</v>
      </c>
      <c r="D15" s="28">
        <v>289</v>
      </c>
      <c r="E15" s="28">
        <v>1806</v>
      </c>
      <c r="F15" s="28">
        <v>590</v>
      </c>
      <c r="G15" s="28">
        <f t="shared" ref="G15:G20" si="10">SUM(B15:F15)</f>
        <v>5655</v>
      </c>
      <c r="H15" s="183">
        <f t="shared" si="7"/>
        <v>0.37495027184723512</v>
      </c>
      <c r="I15" s="28">
        <v>3489</v>
      </c>
      <c r="J15" s="28">
        <v>1425</v>
      </c>
      <c r="K15" s="28">
        <f>437+1</f>
        <v>438</v>
      </c>
      <c r="L15" s="28">
        <v>3158</v>
      </c>
      <c r="M15" s="28">
        <v>917</v>
      </c>
      <c r="N15" s="27">
        <f t="shared" ref="N15:N20" si="11">SUM(I15:M15)</f>
        <v>9427</v>
      </c>
      <c r="O15" s="187">
        <f t="shared" si="9"/>
        <v>0.62504972815276494</v>
      </c>
      <c r="P15" s="28">
        <f t="shared" ref="P15:P20" si="12">+G15+N15</f>
        <v>15082</v>
      </c>
      <c r="Q15" s="242">
        <v>18253</v>
      </c>
      <c r="R15" s="188">
        <f t="shared" ref="R15:R20" si="13">+(P15/Q15)-1</f>
        <v>-0.1737248671451268</v>
      </c>
    </row>
    <row r="16" spans="1:18" ht="15.95" customHeight="1">
      <c r="A16" s="16" t="s">
        <v>7</v>
      </c>
      <c r="B16" s="27">
        <v>2112</v>
      </c>
      <c r="C16" s="27">
        <v>861</v>
      </c>
      <c r="D16" s="27">
        <v>290</v>
      </c>
      <c r="E16" s="27">
        <v>1786</v>
      </c>
      <c r="F16" s="27">
        <v>581</v>
      </c>
      <c r="G16" s="28">
        <f t="shared" si="10"/>
        <v>5630</v>
      </c>
      <c r="H16" s="183">
        <f t="shared" si="7"/>
        <v>0.36513392567611391</v>
      </c>
      <c r="I16" s="27">
        <v>3675</v>
      </c>
      <c r="J16" s="27">
        <v>1476</v>
      </c>
      <c r="K16" s="27">
        <f>448+1</f>
        <v>449</v>
      </c>
      <c r="L16" s="27">
        <v>3253</v>
      </c>
      <c r="M16" s="27">
        <v>936</v>
      </c>
      <c r="N16" s="27">
        <f t="shared" si="11"/>
        <v>9789</v>
      </c>
      <c r="O16" s="187">
        <f t="shared" si="9"/>
        <v>0.63486607432388609</v>
      </c>
      <c r="P16" s="28">
        <f t="shared" si="12"/>
        <v>15419</v>
      </c>
      <c r="Q16" s="184">
        <v>17759</v>
      </c>
      <c r="R16" s="188">
        <f t="shared" si="13"/>
        <v>-0.1317641759108058</v>
      </c>
    </row>
    <row r="17" spans="1:18" ht="15.95" customHeight="1">
      <c r="A17" s="16" t="s">
        <v>27</v>
      </c>
      <c r="B17" s="27">
        <v>2087</v>
      </c>
      <c r="C17" s="27">
        <v>820</v>
      </c>
      <c r="D17" s="27">
        <v>287</v>
      </c>
      <c r="E17" s="27">
        <v>1758</v>
      </c>
      <c r="F17" s="27">
        <v>576</v>
      </c>
      <c r="G17" s="28">
        <f t="shared" si="10"/>
        <v>5528</v>
      </c>
      <c r="H17" s="183">
        <f t="shared" si="7"/>
        <v>0.40145243282498183</v>
      </c>
      <c r="I17" s="27">
        <v>3079</v>
      </c>
      <c r="J17" s="27">
        <v>1306</v>
      </c>
      <c r="K17" s="27">
        <f>370+1</f>
        <v>371</v>
      </c>
      <c r="L17" s="27">
        <v>2693</v>
      </c>
      <c r="M17" s="27">
        <v>793</v>
      </c>
      <c r="N17" s="27">
        <f t="shared" si="11"/>
        <v>8242</v>
      </c>
      <c r="O17" s="187">
        <f t="shared" si="9"/>
        <v>0.59854756717501811</v>
      </c>
      <c r="P17" s="28">
        <f t="shared" si="12"/>
        <v>13770</v>
      </c>
      <c r="Q17" s="184">
        <v>16132</v>
      </c>
      <c r="R17" s="188">
        <f t="shared" si="13"/>
        <v>-0.14641705926109594</v>
      </c>
    </row>
    <row r="18" spans="1:18" ht="15.95" customHeight="1">
      <c r="A18" s="16" t="s">
        <v>28</v>
      </c>
      <c r="B18" s="27">
        <v>1912</v>
      </c>
      <c r="C18" s="27">
        <v>793</v>
      </c>
      <c r="D18" s="27">
        <v>363</v>
      </c>
      <c r="E18" s="27">
        <v>1708</v>
      </c>
      <c r="F18" s="27">
        <v>628</v>
      </c>
      <c r="G18" s="28">
        <f t="shared" si="10"/>
        <v>5404</v>
      </c>
      <c r="H18" s="183">
        <f t="shared" si="7"/>
        <v>0.43788996029495181</v>
      </c>
      <c r="I18" s="27">
        <v>2441</v>
      </c>
      <c r="J18" s="27">
        <v>1093</v>
      </c>
      <c r="K18" s="27">
        <v>433</v>
      </c>
      <c r="L18" s="27">
        <v>2167</v>
      </c>
      <c r="M18" s="27">
        <v>803</v>
      </c>
      <c r="N18" s="27">
        <f t="shared" si="11"/>
        <v>6937</v>
      </c>
      <c r="O18" s="187">
        <f t="shared" si="9"/>
        <v>0.56211003970504825</v>
      </c>
      <c r="P18" s="28">
        <f t="shared" si="12"/>
        <v>12341</v>
      </c>
      <c r="Q18" s="184">
        <v>14132</v>
      </c>
      <c r="R18" s="188">
        <f t="shared" si="13"/>
        <v>-0.12673365411831305</v>
      </c>
    </row>
    <row r="19" spans="1:18" ht="15.95" customHeight="1">
      <c r="A19" s="16" t="s">
        <v>29</v>
      </c>
      <c r="B19" s="27">
        <v>1949</v>
      </c>
      <c r="C19" s="27">
        <v>1181</v>
      </c>
      <c r="D19" s="27">
        <v>2698</v>
      </c>
      <c r="E19" s="27">
        <v>1950</v>
      </c>
      <c r="F19" s="27">
        <v>1359</v>
      </c>
      <c r="G19" s="27">
        <f t="shared" si="10"/>
        <v>9137</v>
      </c>
      <c r="H19" s="183">
        <f t="shared" si="7"/>
        <v>0.43526105182926828</v>
      </c>
      <c r="I19" s="27">
        <v>2346</v>
      </c>
      <c r="J19" s="27">
        <v>1523</v>
      </c>
      <c r="K19" s="27">
        <v>3692</v>
      </c>
      <c r="L19" s="27">
        <v>2302</v>
      </c>
      <c r="M19" s="27">
        <v>1992</v>
      </c>
      <c r="N19" s="27">
        <f t="shared" si="11"/>
        <v>11855</v>
      </c>
      <c r="O19" s="183">
        <f t="shared" si="9"/>
        <v>0.56473894817073167</v>
      </c>
      <c r="P19" s="27">
        <f t="shared" si="12"/>
        <v>20992</v>
      </c>
      <c r="Q19" s="184">
        <v>23214</v>
      </c>
      <c r="R19" s="169">
        <f t="shared" si="13"/>
        <v>-9.5718101145860213E-2</v>
      </c>
    </row>
    <row r="20" spans="1:18" ht="15.95" customHeight="1" thickBot="1">
      <c r="A20" s="80" t="s">
        <v>30</v>
      </c>
      <c r="B20" s="20">
        <v>2165</v>
      </c>
      <c r="C20" s="20">
        <v>1461</v>
      </c>
      <c r="D20" s="20">
        <v>3280</v>
      </c>
      <c r="E20" s="20">
        <v>2226</v>
      </c>
      <c r="F20" s="20">
        <v>2199</v>
      </c>
      <c r="G20" s="27">
        <f t="shared" si="10"/>
        <v>11331</v>
      </c>
      <c r="H20" s="183">
        <f t="shared" si="7"/>
        <v>0.44685885554284815</v>
      </c>
      <c r="I20" s="27">
        <v>2307</v>
      </c>
      <c r="J20" s="20">
        <v>1806</v>
      </c>
      <c r="K20" s="20">
        <v>4608</v>
      </c>
      <c r="L20" s="20">
        <v>2365</v>
      </c>
      <c r="M20" s="20">
        <v>2940</v>
      </c>
      <c r="N20" s="20">
        <f t="shared" si="11"/>
        <v>14026</v>
      </c>
      <c r="O20" s="185">
        <f t="shared" si="9"/>
        <v>0.5531411444571519</v>
      </c>
      <c r="P20" s="20">
        <f t="shared" si="12"/>
        <v>25357</v>
      </c>
      <c r="Q20" s="189">
        <v>26943</v>
      </c>
      <c r="R20" s="186">
        <f t="shared" si="13"/>
        <v>-5.8865011320194505E-2</v>
      </c>
    </row>
    <row r="21" spans="1:18" ht="15.95" customHeight="1">
      <c r="A21" s="387" t="s">
        <v>43</v>
      </c>
      <c r="B21" s="311"/>
      <c r="C21" s="311"/>
      <c r="D21" s="311"/>
      <c r="E21" s="311"/>
      <c r="F21" s="311"/>
      <c r="G21" s="311"/>
      <c r="H21" s="302"/>
      <c r="I21" s="311"/>
      <c r="J21" s="311"/>
      <c r="K21" s="311"/>
      <c r="L21" s="311"/>
      <c r="M21" s="311"/>
      <c r="N21" s="311"/>
      <c r="O21" s="302"/>
      <c r="P21" s="311"/>
      <c r="Q21" s="328"/>
      <c r="R21" s="303"/>
    </row>
    <row r="22" spans="1:18" ht="21.75" customHeight="1" thickBot="1">
      <c r="A22" s="384"/>
      <c r="B22" s="312">
        <f t="shared" ref="B22:G22" si="14">AVERAGE(B15:B20)</f>
        <v>2054.3333333333335</v>
      </c>
      <c r="C22" s="312">
        <f t="shared" si="14"/>
        <v>997.5</v>
      </c>
      <c r="D22" s="312">
        <f t="shared" si="14"/>
        <v>1201.1666666666667</v>
      </c>
      <c r="E22" s="312">
        <f t="shared" si="14"/>
        <v>1872.3333333333333</v>
      </c>
      <c r="F22" s="312">
        <f t="shared" si="14"/>
        <v>988.83333333333337</v>
      </c>
      <c r="G22" s="312">
        <f t="shared" si="14"/>
        <v>7114.166666666667</v>
      </c>
      <c r="H22" s="313">
        <f t="shared" si="7"/>
        <v>0.41457445052009984</v>
      </c>
      <c r="I22" s="312">
        <f t="shared" ref="I22:N22" si="15">AVERAGE(I15:I20)</f>
        <v>2889.5</v>
      </c>
      <c r="J22" s="312">
        <f t="shared" si="15"/>
        <v>1438.1666666666667</v>
      </c>
      <c r="K22" s="312">
        <f t="shared" si="15"/>
        <v>1665.1666666666667</v>
      </c>
      <c r="L22" s="312">
        <f t="shared" si="15"/>
        <v>2656.3333333333335</v>
      </c>
      <c r="M22" s="312">
        <f t="shared" si="15"/>
        <v>1396.8333333333333</v>
      </c>
      <c r="N22" s="312">
        <f t="shared" si="15"/>
        <v>10046</v>
      </c>
      <c r="O22" s="313">
        <f t="shared" si="9"/>
        <v>0.58542554947990011</v>
      </c>
      <c r="P22" s="312">
        <f>AVERAGE(P15:P20)</f>
        <v>17160.166666666668</v>
      </c>
      <c r="Q22" s="312">
        <f>AVERAGE(Q15:Q20)</f>
        <v>19405.5</v>
      </c>
      <c r="R22" s="314">
        <f>+(P22/Q22)-1</f>
        <v>-0.11570602835965738</v>
      </c>
    </row>
    <row r="23" spans="1:18" ht="15.95" customHeight="1">
      <c r="A23" s="383" t="s">
        <v>48</v>
      </c>
      <c r="B23" s="307"/>
      <c r="C23" s="307"/>
      <c r="D23" s="307"/>
      <c r="E23" s="307"/>
      <c r="F23" s="307"/>
      <c r="G23" s="307"/>
      <c r="H23" s="307"/>
      <c r="I23" s="308"/>
      <c r="J23" s="308"/>
      <c r="K23" s="308"/>
      <c r="L23" s="308"/>
      <c r="M23" s="308"/>
      <c r="N23" s="308"/>
      <c r="O23" s="309"/>
      <c r="P23" s="308"/>
      <c r="Q23" s="329"/>
      <c r="R23" s="310"/>
    </row>
    <row r="24" spans="1:18" ht="18.75" customHeight="1" thickBot="1">
      <c r="A24" s="384"/>
      <c r="B24" s="304">
        <f t="shared" ref="B24:G24" si="16">AVERAGE(B7:B12,B15:B20)</f>
        <v>2129.3333333333335</v>
      </c>
      <c r="C24" s="304">
        <f t="shared" si="16"/>
        <v>1235.4166666666667</v>
      </c>
      <c r="D24" s="304">
        <f t="shared" si="16"/>
        <v>1719.5833333333333</v>
      </c>
      <c r="E24" s="304">
        <f>AVERAGE(E7:E12,E15:E20)</f>
        <v>2124.4166666666665</v>
      </c>
      <c r="F24" s="304">
        <f t="shared" si="16"/>
        <v>1327.25</v>
      </c>
      <c r="G24" s="304">
        <f t="shared" si="16"/>
        <v>8536</v>
      </c>
      <c r="H24" s="305">
        <f>G24/P24</f>
        <v>0.4418143234243716</v>
      </c>
      <c r="I24" s="304">
        <f t="shared" ref="I24:N24" si="17">AVERAGE(I7:I12,I15:I20)</f>
        <v>2656</v>
      </c>
      <c r="J24" s="304">
        <f t="shared" si="17"/>
        <v>1497.0833333333333</v>
      </c>
      <c r="K24" s="304">
        <f t="shared" si="17"/>
        <v>2345.5833333333335</v>
      </c>
      <c r="L24" s="304">
        <f t="shared" si="17"/>
        <v>2607.5833333333335</v>
      </c>
      <c r="M24" s="304">
        <f t="shared" si="17"/>
        <v>1678.0833333333333</v>
      </c>
      <c r="N24" s="304">
        <f t="shared" si="17"/>
        <v>10784.333333333334</v>
      </c>
      <c r="O24" s="305">
        <f>N24/P24</f>
        <v>0.55818567657562845</v>
      </c>
      <c r="P24" s="304">
        <f>AVERAGE(P7:P12,P15:P20)</f>
        <v>19320.333333333332</v>
      </c>
      <c r="Q24" s="327">
        <v>22279.166666666668</v>
      </c>
      <c r="R24" s="306">
        <f>(P24/Q24)-1</f>
        <v>-0.13280718159715743</v>
      </c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23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6"/>
      <c r="O26" s="1"/>
      <c r="P26" s="1"/>
      <c r="Q26" s="1"/>
      <c r="R26" s="1"/>
    </row>
    <row r="27" spans="1:18">
      <c r="A27" s="1"/>
      <c r="B27" s="5"/>
      <c r="C27" s="3"/>
      <c r="D27" s="2"/>
      <c r="E27" s="2"/>
      <c r="F27" s="1"/>
      <c r="G27" s="1"/>
      <c r="H27" s="1"/>
      <c r="I27" s="1"/>
      <c r="J27" s="1"/>
      <c r="K27" s="1"/>
      <c r="L27" s="4"/>
      <c r="M27" s="4"/>
      <c r="N27" s="26" t="s">
        <v>32</v>
      </c>
      <c r="O27" s="36"/>
      <c r="P27" s="36"/>
      <c r="Q27" s="36"/>
      <c r="R27" s="26"/>
    </row>
    <row r="28" spans="1:18">
      <c r="A28" s="32">
        <v>42786</v>
      </c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26" t="s">
        <v>11</v>
      </c>
      <c r="O28" s="36"/>
      <c r="P28" s="36"/>
      <c r="Q28" s="36"/>
      <c r="R28" s="26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N30" s="1"/>
      <c r="O30" s="1"/>
      <c r="P30" s="1"/>
      <c r="Q30" s="1"/>
      <c r="R30" s="1"/>
    </row>
  </sheetData>
  <mergeCells count="9">
    <mergeCell ref="A23:A24"/>
    <mergeCell ref="B5:H5"/>
    <mergeCell ref="I5:O5"/>
    <mergeCell ref="P1:R1"/>
    <mergeCell ref="A13:A14"/>
    <mergeCell ref="A21:A22"/>
    <mergeCell ref="R5:R6"/>
    <mergeCell ref="A5:A6"/>
    <mergeCell ref="P5:Q5"/>
  </mergeCells>
  <phoneticPr fontId="0" type="noConversion"/>
  <pageMargins left="0" right="0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topLeftCell="A14" workbookViewId="0">
      <selection activeCell="G31" sqref="G31"/>
    </sheetView>
  </sheetViews>
  <sheetFormatPr defaultRowHeight="12.75"/>
  <cols>
    <col min="1" max="1" width="4.85546875" customWidth="1"/>
    <col min="2" max="2" width="59.140625" customWidth="1"/>
    <col min="3" max="3" width="12.85546875" customWidth="1"/>
    <col min="4" max="4" width="12.7109375" customWidth="1"/>
    <col min="5" max="5" width="12.42578125" customWidth="1"/>
    <col min="6" max="6" width="11.42578125" customWidth="1"/>
    <col min="7" max="7" width="11.28515625" bestFit="1" customWidth="1"/>
  </cols>
  <sheetData>
    <row r="1" spans="1:8">
      <c r="A1" s="123" t="s">
        <v>110</v>
      </c>
    </row>
    <row r="2" spans="1:8" ht="6.75" customHeight="1">
      <c r="A2" s="33"/>
    </row>
    <row r="3" spans="1:8" ht="27.75" customHeight="1">
      <c r="A3" s="444" t="s">
        <v>138</v>
      </c>
      <c r="B3" s="444"/>
      <c r="C3" s="444"/>
      <c r="D3" s="444"/>
      <c r="E3" s="444"/>
      <c r="F3" s="444"/>
      <c r="G3" s="444"/>
      <c r="H3" s="444"/>
    </row>
    <row r="4" spans="1:8" ht="12" customHeight="1" thickBot="1">
      <c r="A4" s="443"/>
      <c r="B4" s="443"/>
      <c r="C4" s="443"/>
      <c r="D4" s="443"/>
    </row>
    <row r="5" spans="1:8">
      <c r="A5" s="143"/>
      <c r="B5" s="134"/>
      <c r="C5" s="457" t="s">
        <v>62</v>
      </c>
      <c r="D5" s="446"/>
      <c r="E5" s="446"/>
      <c r="F5" s="446"/>
      <c r="G5" s="446"/>
      <c r="H5" s="447"/>
    </row>
    <row r="6" spans="1:8">
      <c r="A6" s="144" t="s">
        <v>63</v>
      </c>
      <c r="B6" s="135" t="s">
        <v>64</v>
      </c>
      <c r="C6" s="458" t="s">
        <v>65</v>
      </c>
      <c r="D6" s="449"/>
      <c r="E6" s="450" t="s">
        <v>66</v>
      </c>
      <c r="F6" s="450"/>
      <c r="G6" s="445" t="s">
        <v>6</v>
      </c>
      <c r="H6" s="455" t="s">
        <v>116</v>
      </c>
    </row>
    <row r="7" spans="1:8" ht="24.75" customHeight="1" thickBot="1">
      <c r="A7" s="136"/>
      <c r="B7" s="136"/>
      <c r="C7" s="151" t="s">
        <v>67</v>
      </c>
      <c r="D7" s="106" t="s">
        <v>68</v>
      </c>
      <c r="E7" s="106" t="s">
        <v>68</v>
      </c>
      <c r="F7" s="106" t="s">
        <v>69</v>
      </c>
      <c r="G7" s="459"/>
      <c r="H7" s="456"/>
    </row>
    <row r="8" spans="1:8" ht="15" customHeight="1">
      <c r="A8" s="145">
        <v>1</v>
      </c>
      <c r="B8" s="137" t="s">
        <v>70</v>
      </c>
      <c r="C8" s="128">
        <v>0</v>
      </c>
      <c r="D8" s="83">
        <v>0</v>
      </c>
      <c r="E8" s="93">
        <v>0</v>
      </c>
      <c r="F8" s="93">
        <v>103</v>
      </c>
      <c r="G8" s="66">
        <f>SUM(C8+D8+E8+F8)</f>
        <v>103</v>
      </c>
      <c r="H8" s="170">
        <f>G8/G31</f>
        <v>5.4989055576317334E-3</v>
      </c>
    </row>
    <row r="9" spans="1:8" ht="15" customHeight="1">
      <c r="A9" s="146">
        <v>2</v>
      </c>
      <c r="B9" s="138" t="s">
        <v>71</v>
      </c>
      <c r="C9" s="129">
        <v>0</v>
      </c>
      <c r="D9" s="64">
        <v>0</v>
      </c>
      <c r="E9" s="65">
        <v>0</v>
      </c>
      <c r="F9" s="65">
        <v>20</v>
      </c>
      <c r="G9" s="66">
        <f t="shared" ref="G9:G30" si="0">SUM(C9+D9+E9+F9)</f>
        <v>20</v>
      </c>
      <c r="H9" s="171">
        <f>G9/G31</f>
        <v>1.0677486519673268E-3</v>
      </c>
    </row>
    <row r="10" spans="1:8" ht="15" customHeight="1">
      <c r="A10" s="146">
        <v>3</v>
      </c>
      <c r="B10" s="138" t="s">
        <v>72</v>
      </c>
      <c r="C10" s="129">
        <v>10</v>
      </c>
      <c r="D10" s="64">
        <v>0</v>
      </c>
      <c r="E10" s="65">
        <v>3</v>
      </c>
      <c r="F10" s="65">
        <v>1065</v>
      </c>
      <c r="G10" s="66">
        <f>SUM(C10+D10+E10+F10)</f>
        <v>1078</v>
      </c>
      <c r="H10" s="171">
        <f>G10/G31</f>
        <v>5.7551652341038921E-2</v>
      </c>
    </row>
    <row r="11" spans="1:8" ht="15" customHeight="1">
      <c r="A11" s="146">
        <v>4</v>
      </c>
      <c r="B11" s="138" t="s">
        <v>73</v>
      </c>
      <c r="C11" s="130">
        <v>0</v>
      </c>
      <c r="D11" s="67">
        <v>0</v>
      </c>
      <c r="E11" s="68">
        <v>0</v>
      </c>
      <c r="F11" s="60">
        <v>28</v>
      </c>
      <c r="G11" s="66">
        <f t="shared" si="0"/>
        <v>28</v>
      </c>
      <c r="H11" s="171">
        <f>G11/G31</f>
        <v>1.4948481127542575E-3</v>
      </c>
    </row>
    <row r="12" spans="1:8" ht="26.25" customHeight="1">
      <c r="A12" s="146">
        <v>5</v>
      </c>
      <c r="B12" s="138" t="s">
        <v>74</v>
      </c>
      <c r="C12" s="129">
        <v>0</v>
      </c>
      <c r="D12" s="64">
        <v>0</v>
      </c>
      <c r="E12" s="65">
        <v>0</v>
      </c>
      <c r="F12" s="65">
        <v>9</v>
      </c>
      <c r="G12" s="66">
        <f t="shared" si="0"/>
        <v>9</v>
      </c>
      <c r="H12" s="171">
        <f>G12/G31</f>
        <v>4.8048689338529708E-4</v>
      </c>
    </row>
    <row r="13" spans="1:8" ht="15" customHeight="1">
      <c r="A13" s="146">
        <v>6</v>
      </c>
      <c r="B13" s="138" t="s">
        <v>75</v>
      </c>
      <c r="C13" s="152">
        <v>0</v>
      </c>
      <c r="D13" s="83">
        <v>0</v>
      </c>
      <c r="E13" s="61">
        <v>17</v>
      </c>
      <c r="F13" s="61">
        <f>1190+1</f>
        <v>1191</v>
      </c>
      <c r="G13" s="66">
        <f t="shared" si="0"/>
        <v>1208</v>
      </c>
      <c r="H13" s="171">
        <f>G13/G31</f>
        <v>6.449201857882654E-2</v>
      </c>
    </row>
    <row r="14" spans="1:8" ht="24.75" customHeight="1">
      <c r="A14" s="146">
        <v>7</v>
      </c>
      <c r="B14" s="138" t="s">
        <v>76</v>
      </c>
      <c r="C14" s="130">
        <v>0</v>
      </c>
      <c r="D14" s="64">
        <v>1</v>
      </c>
      <c r="E14" s="60">
        <v>36</v>
      </c>
      <c r="F14" s="60">
        <v>3287</v>
      </c>
      <c r="G14" s="66">
        <f t="shared" si="0"/>
        <v>3324</v>
      </c>
      <c r="H14" s="171">
        <f>G14/G31</f>
        <v>0.17745982595696974</v>
      </c>
    </row>
    <row r="15" spans="1:8" ht="15" customHeight="1">
      <c r="A15" s="146">
        <v>8</v>
      </c>
      <c r="B15" s="138" t="s">
        <v>77</v>
      </c>
      <c r="C15" s="130">
        <v>0</v>
      </c>
      <c r="D15" s="64">
        <v>2</v>
      </c>
      <c r="E15" s="59">
        <v>6</v>
      </c>
      <c r="F15" s="60">
        <f>896+1</f>
        <v>897</v>
      </c>
      <c r="G15" s="66">
        <f t="shared" si="0"/>
        <v>905</v>
      </c>
      <c r="H15" s="171">
        <f>G15/G31</f>
        <v>4.831562650152154E-2</v>
      </c>
    </row>
    <row r="16" spans="1:8" ht="25.5" customHeight="1">
      <c r="A16" s="146">
        <v>9</v>
      </c>
      <c r="B16" s="138" t="s">
        <v>78</v>
      </c>
      <c r="C16" s="129">
        <v>0</v>
      </c>
      <c r="D16" s="64">
        <v>18</v>
      </c>
      <c r="E16" s="65">
        <v>2859</v>
      </c>
      <c r="F16" s="65">
        <f>2555+4</f>
        <v>2559</v>
      </c>
      <c r="G16" s="66">
        <f t="shared" si="0"/>
        <v>5436</v>
      </c>
      <c r="H16" s="171">
        <f>G16/G31</f>
        <v>0.29021408360471945</v>
      </c>
    </row>
    <row r="17" spans="1:8" ht="15" customHeight="1">
      <c r="A17" s="146">
        <v>10</v>
      </c>
      <c r="B17" s="138" t="s">
        <v>79</v>
      </c>
      <c r="C17" s="129">
        <v>0</v>
      </c>
      <c r="D17" s="64">
        <v>0</v>
      </c>
      <c r="E17" s="65">
        <v>0</v>
      </c>
      <c r="F17" s="65">
        <f>274+1</f>
        <v>275</v>
      </c>
      <c r="G17" s="66">
        <f t="shared" si="0"/>
        <v>275</v>
      </c>
      <c r="H17" s="171">
        <f>G17/G31</f>
        <v>1.4681543964550745E-2</v>
      </c>
    </row>
    <row r="18" spans="1:8" ht="15" customHeight="1">
      <c r="A18" s="146">
        <v>11</v>
      </c>
      <c r="B18" s="138" t="s">
        <v>80</v>
      </c>
      <c r="C18" s="129">
        <v>0</v>
      </c>
      <c r="D18" s="64">
        <v>0</v>
      </c>
      <c r="E18" s="65">
        <v>0</v>
      </c>
      <c r="F18" s="60">
        <v>560</v>
      </c>
      <c r="G18" s="66">
        <f t="shared" si="0"/>
        <v>560</v>
      </c>
      <c r="H18" s="171">
        <f>G18/G31</f>
        <v>2.9896962255085154E-2</v>
      </c>
    </row>
    <row r="19" spans="1:8" ht="15" customHeight="1">
      <c r="A19" s="146">
        <v>12</v>
      </c>
      <c r="B19" s="138" t="s">
        <v>81</v>
      </c>
      <c r="C19" s="129">
        <v>0</v>
      </c>
      <c r="D19" s="64">
        <v>0</v>
      </c>
      <c r="E19" s="65">
        <v>11</v>
      </c>
      <c r="F19" s="65">
        <v>128</v>
      </c>
      <c r="G19" s="66">
        <f t="shared" si="0"/>
        <v>139</v>
      </c>
      <c r="H19" s="171">
        <f>G19/G31</f>
        <v>7.4208531311729222E-3</v>
      </c>
    </row>
    <row r="20" spans="1:8" ht="15" customHeight="1">
      <c r="A20" s="146">
        <v>13</v>
      </c>
      <c r="B20" s="138" t="s">
        <v>82</v>
      </c>
      <c r="C20" s="129">
        <v>0</v>
      </c>
      <c r="D20" s="64">
        <v>0</v>
      </c>
      <c r="E20" s="65">
        <v>0</v>
      </c>
      <c r="F20" s="65">
        <v>716</v>
      </c>
      <c r="G20" s="66">
        <f t="shared" si="0"/>
        <v>716</v>
      </c>
      <c r="H20" s="171">
        <f>G20/G31</f>
        <v>3.82254017404303E-2</v>
      </c>
    </row>
    <row r="21" spans="1:8" ht="15" customHeight="1">
      <c r="A21" s="146">
        <v>14</v>
      </c>
      <c r="B21" s="138" t="s">
        <v>83</v>
      </c>
      <c r="C21" s="129">
        <v>0</v>
      </c>
      <c r="D21" s="64">
        <v>0</v>
      </c>
      <c r="E21" s="65">
        <v>12</v>
      </c>
      <c r="F21" s="65">
        <f>557+1</f>
        <v>558</v>
      </c>
      <c r="G21" s="66">
        <f t="shared" si="0"/>
        <v>570</v>
      </c>
      <c r="H21" s="171">
        <f>G21/G31</f>
        <v>3.0430836581068817E-2</v>
      </c>
    </row>
    <row r="22" spans="1:8" ht="15" customHeight="1">
      <c r="A22" s="147">
        <v>15</v>
      </c>
      <c r="B22" s="138" t="s">
        <v>84</v>
      </c>
      <c r="C22" s="129">
        <v>0</v>
      </c>
      <c r="D22" s="64">
        <v>1</v>
      </c>
      <c r="E22" s="65">
        <v>1</v>
      </c>
      <c r="F22" s="65">
        <f>1624+1</f>
        <v>1625</v>
      </c>
      <c r="G22" s="66">
        <f t="shared" si="0"/>
        <v>1627</v>
      </c>
      <c r="H22" s="171">
        <f>G22/G31</f>
        <v>8.6861352837542039E-2</v>
      </c>
    </row>
    <row r="23" spans="1:8" ht="15" customHeight="1">
      <c r="A23" s="146">
        <v>16</v>
      </c>
      <c r="B23" s="138" t="s">
        <v>85</v>
      </c>
      <c r="C23" s="129">
        <v>0</v>
      </c>
      <c r="D23" s="64">
        <v>0</v>
      </c>
      <c r="E23" s="65">
        <v>0</v>
      </c>
      <c r="F23" s="65">
        <v>294</v>
      </c>
      <c r="G23" s="66">
        <f t="shared" si="0"/>
        <v>294</v>
      </c>
      <c r="H23" s="171">
        <f>G23/G31</f>
        <v>1.5695905183919705E-2</v>
      </c>
    </row>
    <row r="24" spans="1:8" ht="26.25" customHeight="1">
      <c r="A24" s="147">
        <v>17</v>
      </c>
      <c r="B24" s="138" t="s">
        <v>86</v>
      </c>
      <c r="C24" s="129">
        <v>0</v>
      </c>
      <c r="D24" s="64">
        <v>0</v>
      </c>
      <c r="E24" s="65">
        <v>0</v>
      </c>
      <c r="F24" s="65">
        <v>251</v>
      </c>
      <c r="G24" s="66">
        <f t="shared" si="0"/>
        <v>251</v>
      </c>
      <c r="H24" s="171">
        <f>G24/G31</f>
        <v>1.3400245582189952E-2</v>
      </c>
    </row>
    <row r="25" spans="1:8" ht="15" customHeight="1">
      <c r="A25" s="146">
        <v>18</v>
      </c>
      <c r="B25" s="139" t="s">
        <v>87</v>
      </c>
      <c r="C25" s="129">
        <v>0</v>
      </c>
      <c r="D25" s="64">
        <v>1</v>
      </c>
      <c r="E25" s="65">
        <v>9</v>
      </c>
      <c r="F25" s="65">
        <v>352</v>
      </c>
      <c r="G25" s="66">
        <f t="shared" si="0"/>
        <v>362</v>
      </c>
      <c r="H25" s="171">
        <f>G25/G31</f>
        <v>1.9326250600608618E-2</v>
      </c>
    </row>
    <row r="26" spans="1:8" ht="15" customHeight="1">
      <c r="A26" s="146">
        <v>19</v>
      </c>
      <c r="B26" s="139" t="s">
        <v>88</v>
      </c>
      <c r="C26" s="129">
        <v>0</v>
      </c>
      <c r="D26" s="64">
        <v>0</v>
      </c>
      <c r="E26" s="65">
        <v>19</v>
      </c>
      <c r="F26" s="65">
        <v>323</v>
      </c>
      <c r="G26" s="66">
        <f t="shared" si="0"/>
        <v>342</v>
      </c>
      <c r="H26" s="171">
        <f>G26/G31</f>
        <v>1.825850194864129E-2</v>
      </c>
    </row>
    <row r="27" spans="1:8" ht="37.5" customHeight="1">
      <c r="A27" s="147">
        <v>20</v>
      </c>
      <c r="B27" s="139" t="s">
        <v>89</v>
      </c>
      <c r="C27" s="129">
        <v>0</v>
      </c>
      <c r="D27" s="64">
        <v>0</v>
      </c>
      <c r="E27" s="65">
        <v>0</v>
      </c>
      <c r="F27" s="65">
        <f>28+1</f>
        <v>29</v>
      </c>
      <c r="G27" s="66">
        <f t="shared" si="0"/>
        <v>29</v>
      </c>
      <c r="H27" s="171">
        <f>G27/G31</f>
        <v>1.548235545352624E-3</v>
      </c>
    </row>
    <row r="28" spans="1:8" ht="15" customHeight="1">
      <c r="A28" s="146">
        <v>21</v>
      </c>
      <c r="B28" s="139" t="s">
        <v>90</v>
      </c>
      <c r="C28" s="129">
        <v>0</v>
      </c>
      <c r="D28" s="64">
        <v>0</v>
      </c>
      <c r="E28" s="65">
        <v>0</v>
      </c>
      <c r="F28" s="65">
        <v>21</v>
      </c>
      <c r="G28" s="66">
        <f t="shared" si="0"/>
        <v>21</v>
      </c>
      <c r="H28" s="171">
        <f>G28/G31</f>
        <v>1.1211360845656932E-3</v>
      </c>
    </row>
    <row r="29" spans="1:8" ht="15" customHeight="1">
      <c r="A29" s="146">
        <v>22</v>
      </c>
      <c r="B29" s="140" t="s">
        <v>91</v>
      </c>
      <c r="C29" s="129">
        <v>0</v>
      </c>
      <c r="D29" s="64">
        <v>0</v>
      </c>
      <c r="E29" s="65">
        <v>50</v>
      </c>
      <c r="F29" s="65">
        <f>1359+20</f>
        <v>1379</v>
      </c>
      <c r="G29" s="66">
        <f t="shared" si="0"/>
        <v>1429</v>
      </c>
      <c r="H29" s="171">
        <f>G29/G31</f>
        <v>7.62906411830655E-2</v>
      </c>
    </row>
    <row r="30" spans="1:8" ht="15" customHeight="1" thickBot="1">
      <c r="A30" s="315">
        <v>23</v>
      </c>
      <c r="B30" s="141" t="s">
        <v>92</v>
      </c>
      <c r="C30" s="131">
        <v>0</v>
      </c>
      <c r="D30" s="69">
        <v>0</v>
      </c>
      <c r="E30" s="70">
        <v>0</v>
      </c>
      <c r="F30" s="65">
        <v>5</v>
      </c>
      <c r="G30" s="66">
        <f t="shared" si="0"/>
        <v>5</v>
      </c>
      <c r="H30" s="173">
        <f>G30/G31</f>
        <v>2.669371629918317E-4</v>
      </c>
    </row>
    <row r="31" spans="1:8" ht="15" customHeight="1" thickBot="1">
      <c r="A31" s="316" t="s">
        <v>6</v>
      </c>
      <c r="B31" s="317"/>
      <c r="C31" s="132">
        <f>SUM(C8:C30)</f>
        <v>10</v>
      </c>
      <c r="D31" s="71">
        <f>SUM(D8:D30)</f>
        <v>23</v>
      </c>
      <c r="E31" s="71">
        <f t="shared" ref="E31:H31" si="1">SUM(E8:E30)</f>
        <v>3023</v>
      </c>
      <c r="F31" s="71">
        <f t="shared" si="1"/>
        <v>15675</v>
      </c>
      <c r="G31" s="72">
        <f>SUM(G8:G30)</f>
        <v>18731</v>
      </c>
      <c r="H31" s="157">
        <f t="shared" si="1"/>
        <v>1.0000000000000002</v>
      </c>
    </row>
    <row r="32" spans="1:8">
      <c r="B32" s="40"/>
      <c r="F32" s="88"/>
      <c r="G32" s="89"/>
      <c r="H32" s="11"/>
    </row>
    <row r="33" spans="1:9">
      <c r="A33" s="31" t="s">
        <v>128</v>
      </c>
      <c r="B33" s="31"/>
      <c r="C33" s="31"/>
      <c r="D33" s="31"/>
      <c r="E33" s="31"/>
      <c r="F33" s="78" t="s">
        <v>12</v>
      </c>
      <c r="G33" s="31"/>
      <c r="H33" s="88"/>
      <c r="I33" s="11"/>
    </row>
    <row r="34" spans="1:9">
      <c r="A34" s="90"/>
      <c r="B34" s="32">
        <v>42548</v>
      </c>
      <c r="C34" s="172"/>
      <c r="D34" s="90"/>
      <c r="E34" s="31"/>
      <c r="F34" s="78" t="s">
        <v>93</v>
      </c>
      <c r="G34" s="31"/>
      <c r="H34" s="88"/>
      <c r="I34" s="11"/>
    </row>
    <row r="35" spans="1:9">
      <c r="H35" s="11"/>
    </row>
    <row r="36" spans="1:9">
      <c r="H36" s="11"/>
    </row>
  </sheetData>
  <mergeCells count="7">
    <mergeCell ref="A3:H3"/>
    <mergeCell ref="H6:H7"/>
    <mergeCell ref="C5:H5"/>
    <mergeCell ref="A4:D4"/>
    <mergeCell ref="C6:D6"/>
    <mergeCell ref="E6:F6"/>
    <mergeCell ref="G6:G7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topLeftCell="A7" workbookViewId="0">
      <selection activeCell="A3" sqref="A3:G3"/>
    </sheetView>
  </sheetViews>
  <sheetFormatPr defaultRowHeight="12.75"/>
  <cols>
    <col min="1" max="1" width="5.42578125" customWidth="1"/>
    <col min="2" max="2" width="58" customWidth="1"/>
    <col min="3" max="3" width="12.85546875" bestFit="1" customWidth="1"/>
    <col min="4" max="6" width="12.7109375" customWidth="1"/>
    <col min="7" max="7" width="11" customWidth="1"/>
    <col min="8" max="8" width="13.28515625" customWidth="1"/>
  </cols>
  <sheetData>
    <row r="1" spans="1:8">
      <c r="A1" s="153" t="s">
        <v>111</v>
      </c>
    </row>
    <row r="2" spans="1:8">
      <c r="A2" s="33"/>
    </row>
    <row r="3" spans="1:8" ht="31.5" customHeight="1">
      <c r="A3" s="464" t="s">
        <v>139</v>
      </c>
      <c r="B3" s="464"/>
      <c r="C3" s="464"/>
      <c r="D3" s="464"/>
      <c r="E3" s="464"/>
      <c r="F3" s="464"/>
      <c r="G3" s="464"/>
    </row>
    <row r="4" spans="1:8" ht="9.75" customHeight="1" thickBot="1">
      <c r="A4" s="443"/>
      <c r="B4" s="443"/>
      <c r="C4" s="443"/>
      <c r="D4" s="443"/>
    </row>
    <row r="5" spans="1:8" ht="11.25" customHeight="1">
      <c r="A5" s="143"/>
      <c r="B5" s="134"/>
      <c r="C5" s="462" t="s">
        <v>62</v>
      </c>
      <c r="D5" s="462"/>
      <c r="E5" s="462"/>
      <c r="F5" s="462"/>
      <c r="G5" s="462"/>
      <c r="H5" s="463"/>
    </row>
    <row r="6" spans="1:8" ht="15" customHeight="1">
      <c r="A6" s="144" t="s">
        <v>63</v>
      </c>
      <c r="B6" s="135" t="s">
        <v>64</v>
      </c>
      <c r="C6" s="465" t="s">
        <v>65</v>
      </c>
      <c r="D6" s="458"/>
      <c r="E6" s="466" t="s">
        <v>66</v>
      </c>
      <c r="F6" s="467"/>
      <c r="G6" s="468" t="s">
        <v>6</v>
      </c>
      <c r="H6" s="460" t="s">
        <v>116</v>
      </c>
    </row>
    <row r="7" spans="1:8" ht="23.25" customHeight="1" thickBot="1">
      <c r="A7" s="142"/>
      <c r="B7" s="136"/>
      <c r="C7" s="126" t="s">
        <v>67</v>
      </c>
      <c r="D7" s="127" t="s">
        <v>68</v>
      </c>
      <c r="E7" s="127" t="s">
        <v>68</v>
      </c>
      <c r="F7" s="106" t="s">
        <v>69</v>
      </c>
      <c r="G7" s="469"/>
      <c r="H7" s="461"/>
    </row>
    <row r="8" spans="1:8" ht="18.75" customHeight="1">
      <c r="A8" s="146">
        <v>1</v>
      </c>
      <c r="B8" s="137" t="s">
        <v>70</v>
      </c>
      <c r="C8" s="128">
        <v>0</v>
      </c>
      <c r="D8" s="83">
        <v>0</v>
      </c>
      <c r="E8" s="93">
        <v>0</v>
      </c>
      <c r="F8" s="93">
        <v>102</v>
      </c>
      <c r="G8" s="66">
        <f>SUM(C8+D8+E8+F8)</f>
        <v>102</v>
      </c>
      <c r="H8" s="150">
        <f>G8/G31</f>
        <v>6.9246435845213847E-3</v>
      </c>
    </row>
    <row r="9" spans="1:8" ht="15" customHeight="1">
      <c r="A9" s="146">
        <v>2</v>
      </c>
      <c r="B9" s="138" t="s">
        <v>71</v>
      </c>
      <c r="C9" s="129">
        <v>0</v>
      </c>
      <c r="D9" s="64">
        <v>0</v>
      </c>
      <c r="E9" s="65">
        <v>0</v>
      </c>
      <c r="F9" s="65">
        <v>24</v>
      </c>
      <c r="G9" s="87">
        <f>SUM(C9+D9+E9+F9)</f>
        <v>24</v>
      </c>
      <c r="H9" s="111">
        <f>G9/G31</f>
        <v>1.6293279022403259E-3</v>
      </c>
    </row>
    <row r="10" spans="1:8" ht="15" customHeight="1">
      <c r="A10" s="146">
        <v>3</v>
      </c>
      <c r="B10" s="138" t="s">
        <v>72</v>
      </c>
      <c r="C10" s="129">
        <v>1</v>
      </c>
      <c r="D10" s="64">
        <v>0</v>
      </c>
      <c r="E10" s="65">
        <v>1</v>
      </c>
      <c r="F10" s="65">
        <v>1012</v>
      </c>
      <c r="G10" s="87">
        <f t="shared" ref="G10:G30" si="0">SUM(C10+D10+E10+F10)</f>
        <v>1014</v>
      </c>
      <c r="H10" s="111">
        <f>G10/G31</f>
        <v>6.8839103869653764E-2</v>
      </c>
    </row>
    <row r="11" spans="1:8" ht="25.5">
      <c r="A11" s="146">
        <v>4</v>
      </c>
      <c r="B11" s="138" t="s">
        <v>73</v>
      </c>
      <c r="C11" s="130">
        <v>0</v>
      </c>
      <c r="D11" s="67">
        <v>0</v>
      </c>
      <c r="E11" s="68">
        <v>0</v>
      </c>
      <c r="F11" s="60">
        <v>25</v>
      </c>
      <c r="G11" s="30">
        <f t="shared" si="0"/>
        <v>25</v>
      </c>
      <c r="H11" s="111">
        <f>G11/G31</f>
        <v>1.6972165648336728E-3</v>
      </c>
    </row>
    <row r="12" spans="1:8" ht="24.75" customHeight="1">
      <c r="A12" s="146">
        <v>5</v>
      </c>
      <c r="B12" s="138" t="s">
        <v>74</v>
      </c>
      <c r="C12" s="129">
        <v>0</v>
      </c>
      <c r="D12" s="64">
        <v>0</v>
      </c>
      <c r="E12" s="65">
        <v>0</v>
      </c>
      <c r="F12" s="65">
        <v>10</v>
      </c>
      <c r="G12" s="30">
        <f t="shared" si="0"/>
        <v>10</v>
      </c>
      <c r="H12" s="111">
        <f>G12/G31</f>
        <v>6.7888662593346908E-4</v>
      </c>
    </row>
    <row r="13" spans="1:8" ht="15" customHeight="1">
      <c r="A13" s="146">
        <v>6</v>
      </c>
      <c r="B13" s="138" t="s">
        <v>75</v>
      </c>
      <c r="C13" s="130">
        <v>0</v>
      </c>
      <c r="D13" s="64">
        <v>0</v>
      </c>
      <c r="E13" s="60">
        <v>14</v>
      </c>
      <c r="F13" s="60">
        <v>1137</v>
      </c>
      <c r="G13" s="30">
        <f t="shared" si="0"/>
        <v>1151</v>
      </c>
      <c r="H13" s="111">
        <f>G13/G31</f>
        <v>7.8139850644942291E-2</v>
      </c>
    </row>
    <row r="14" spans="1:8" ht="26.25" customHeight="1">
      <c r="A14" s="146">
        <v>7</v>
      </c>
      <c r="B14" s="138" t="s">
        <v>76</v>
      </c>
      <c r="C14" s="130">
        <v>0</v>
      </c>
      <c r="D14" s="64">
        <v>0</v>
      </c>
      <c r="E14" s="60">
        <v>20</v>
      </c>
      <c r="F14" s="60">
        <v>3018</v>
      </c>
      <c r="G14" s="30">
        <f t="shared" si="0"/>
        <v>3038</v>
      </c>
      <c r="H14" s="111">
        <f>G14/G31</f>
        <v>0.20624575695858791</v>
      </c>
    </row>
    <row r="15" spans="1:8" ht="15" customHeight="1">
      <c r="A15" s="146">
        <v>8</v>
      </c>
      <c r="B15" s="138" t="s">
        <v>77</v>
      </c>
      <c r="C15" s="130">
        <v>0</v>
      </c>
      <c r="D15" s="64">
        <v>1</v>
      </c>
      <c r="E15" s="59">
        <v>6</v>
      </c>
      <c r="F15" s="60">
        <f>695+1</f>
        <v>696</v>
      </c>
      <c r="G15" s="30">
        <f t="shared" si="0"/>
        <v>703</v>
      </c>
      <c r="H15" s="111">
        <f>G15/G31</f>
        <v>4.7725729803122875E-2</v>
      </c>
    </row>
    <row r="16" spans="1:8" ht="15" customHeight="1">
      <c r="A16" s="146">
        <v>9</v>
      </c>
      <c r="B16" s="138" t="s">
        <v>78</v>
      </c>
      <c r="C16" s="129">
        <v>0</v>
      </c>
      <c r="D16" s="64">
        <v>7</v>
      </c>
      <c r="E16" s="65">
        <v>1165</v>
      </c>
      <c r="F16" s="65">
        <f>1869+1</f>
        <v>1870</v>
      </c>
      <c r="G16" s="30">
        <f t="shared" si="0"/>
        <v>3042</v>
      </c>
      <c r="H16" s="111">
        <f>G16/G31</f>
        <v>0.20651731160896131</v>
      </c>
    </row>
    <row r="17" spans="1:8" ht="15" customHeight="1">
      <c r="A17" s="146">
        <v>10</v>
      </c>
      <c r="B17" s="138" t="s">
        <v>79</v>
      </c>
      <c r="C17" s="129">
        <v>0</v>
      </c>
      <c r="D17" s="64">
        <v>0</v>
      </c>
      <c r="E17" s="65">
        <v>0</v>
      </c>
      <c r="F17" s="65">
        <f>267+1</f>
        <v>268</v>
      </c>
      <c r="G17" s="87">
        <f t="shared" si="0"/>
        <v>268</v>
      </c>
      <c r="H17" s="111">
        <f>G17/G31</f>
        <v>1.8194161575016972E-2</v>
      </c>
    </row>
    <row r="18" spans="1:8" ht="15" customHeight="1">
      <c r="A18" s="146">
        <v>11</v>
      </c>
      <c r="B18" s="138" t="s">
        <v>80</v>
      </c>
      <c r="C18" s="129">
        <v>0</v>
      </c>
      <c r="D18" s="64">
        <v>0</v>
      </c>
      <c r="E18" s="65">
        <v>0</v>
      </c>
      <c r="F18" s="60">
        <v>656</v>
      </c>
      <c r="G18" s="30">
        <f t="shared" si="0"/>
        <v>656</v>
      </c>
      <c r="H18" s="111">
        <f>G18/G31</f>
        <v>4.4534962661235571E-2</v>
      </c>
    </row>
    <row r="19" spans="1:8" ht="15" customHeight="1">
      <c r="A19" s="146">
        <v>12</v>
      </c>
      <c r="B19" s="138" t="s">
        <v>81</v>
      </c>
      <c r="C19" s="129">
        <v>0</v>
      </c>
      <c r="D19" s="64">
        <v>0</v>
      </c>
      <c r="E19" s="65">
        <v>2</v>
      </c>
      <c r="F19" s="65">
        <v>99</v>
      </c>
      <c r="G19" s="87">
        <f t="shared" si="0"/>
        <v>101</v>
      </c>
      <c r="H19" s="111">
        <f>G19/G31</f>
        <v>6.8567549219280379E-3</v>
      </c>
    </row>
    <row r="20" spans="1:8" ht="15" customHeight="1">
      <c r="A20" s="146">
        <v>13</v>
      </c>
      <c r="B20" s="138" t="s">
        <v>82</v>
      </c>
      <c r="C20" s="129">
        <v>0</v>
      </c>
      <c r="D20" s="64">
        <v>0</v>
      </c>
      <c r="E20" s="65">
        <v>0</v>
      </c>
      <c r="F20" s="65">
        <v>730</v>
      </c>
      <c r="G20" s="87">
        <f t="shared" si="0"/>
        <v>730</v>
      </c>
      <c r="H20" s="111">
        <f>G20/G31</f>
        <v>4.9558723693143243E-2</v>
      </c>
    </row>
    <row r="21" spans="1:8" ht="15" customHeight="1">
      <c r="A21" s="146">
        <v>14</v>
      </c>
      <c r="B21" s="138" t="s">
        <v>83</v>
      </c>
      <c r="C21" s="129">
        <v>0</v>
      </c>
      <c r="D21" s="64">
        <v>0</v>
      </c>
      <c r="E21" s="65">
        <v>12</v>
      </c>
      <c r="F21" s="65">
        <f>465+1</f>
        <v>466</v>
      </c>
      <c r="G21" s="87">
        <f t="shared" si="0"/>
        <v>478</v>
      </c>
      <c r="H21" s="111">
        <f>G21/G31</f>
        <v>3.2450780719619821E-2</v>
      </c>
    </row>
    <row r="22" spans="1:8" ht="15" customHeight="1">
      <c r="A22" s="147">
        <v>15</v>
      </c>
      <c r="B22" s="138" t="s">
        <v>84</v>
      </c>
      <c r="C22" s="129">
        <v>0</v>
      </c>
      <c r="D22" s="64">
        <v>1</v>
      </c>
      <c r="E22" s="65">
        <v>0</v>
      </c>
      <c r="F22" s="65">
        <f>720+1</f>
        <v>721</v>
      </c>
      <c r="G22" s="87">
        <f t="shared" si="0"/>
        <v>722</v>
      </c>
      <c r="H22" s="111">
        <f>G22/G31</f>
        <v>4.9015614392396469E-2</v>
      </c>
    </row>
    <row r="23" spans="1:8" ht="15" customHeight="1">
      <c r="A23" s="146">
        <v>16</v>
      </c>
      <c r="B23" s="138" t="s">
        <v>85</v>
      </c>
      <c r="C23" s="129">
        <v>0</v>
      </c>
      <c r="D23" s="64">
        <v>0</v>
      </c>
      <c r="E23" s="65">
        <v>0</v>
      </c>
      <c r="F23" s="65">
        <v>399</v>
      </c>
      <c r="G23" s="30">
        <f t="shared" si="0"/>
        <v>399</v>
      </c>
      <c r="H23" s="111">
        <f>G23/G31</f>
        <v>2.7087576374745417E-2</v>
      </c>
    </row>
    <row r="24" spans="1:8" ht="24.75" customHeight="1">
      <c r="A24" s="147">
        <v>17</v>
      </c>
      <c r="B24" s="138" t="s">
        <v>86</v>
      </c>
      <c r="C24" s="129">
        <v>0</v>
      </c>
      <c r="D24" s="64">
        <v>0</v>
      </c>
      <c r="E24" s="65">
        <v>0</v>
      </c>
      <c r="F24" s="65">
        <v>239</v>
      </c>
      <c r="G24" s="87">
        <f t="shared" si="0"/>
        <v>239</v>
      </c>
      <c r="H24" s="111">
        <f>G24/G31</f>
        <v>1.622539035980991E-2</v>
      </c>
    </row>
    <row r="25" spans="1:8" ht="15" customHeight="1">
      <c r="A25" s="146">
        <v>18</v>
      </c>
      <c r="B25" s="139" t="s">
        <v>87</v>
      </c>
      <c r="C25" s="129">
        <v>0</v>
      </c>
      <c r="D25" s="64">
        <v>0</v>
      </c>
      <c r="E25" s="65">
        <v>7</v>
      </c>
      <c r="F25" s="65">
        <v>289</v>
      </c>
      <c r="G25" s="87">
        <f t="shared" si="0"/>
        <v>296</v>
      </c>
      <c r="H25" s="111">
        <f>G25/G31</f>
        <v>2.0095044127630687E-2</v>
      </c>
    </row>
    <row r="26" spans="1:8" ht="15" customHeight="1">
      <c r="A26" s="146">
        <v>19</v>
      </c>
      <c r="B26" s="139" t="s">
        <v>88</v>
      </c>
      <c r="C26" s="129">
        <v>0</v>
      </c>
      <c r="D26" s="64">
        <v>0</v>
      </c>
      <c r="E26" s="65">
        <v>13</v>
      </c>
      <c r="F26" s="65">
        <v>284</v>
      </c>
      <c r="G26" s="87">
        <f t="shared" si="0"/>
        <v>297</v>
      </c>
      <c r="H26" s="111">
        <f>G26/G31</f>
        <v>2.0162932790224034E-2</v>
      </c>
    </row>
    <row r="27" spans="1:8" ht="38.25" customHeight="1">
      <c r="A27" s="147">
        <v>20</v>
      </c>
      <c r="B27" s="139" t="s">
        <v>89</v>
      </c>
      <c r="C27" s="129">
        <v>0</v>
      </c>
      <c r="D27" s="64">
        <v>0</v>
      </c>
      <c r="E27" s="65">
        <v>0</v>
      </c>
      <c r="F27" s="65">
        <v>29</v>
      </c>
      <c r="G27" s="87">
        <f t="shared" si="0"/>
        <v>29</v>
      </c>
      <c r="H27" s="111">
        <f>G27/G31</f>
        <v>1.9687712152070603E-3</v>
      </c>
    </row>
    <row r="28" spans="1:8" ht="15.75" customHeight="1">
      <c r="A28" s="146">
        <v>21</v>
      </c>
      <c r="B28" s="139" t="s">
        <v>90</v>
      </c>
      <c r="C28" s="129">
        <v>0</v>
      </c>
      <c r="D28" s="64">
        <v>0</v>
      </c>
      <c r="E28" s="65">
        <v>0</v>
      </c>
      <c r="F28" s="65">
        <v>19</v>
      </c>
      <c r="G28" s="87">
        <f t="shared" si="0"/>
        <v>19</v>
      </c>
      <c r="H28" s="111">
        <f>G28/G31</f>
        <v>1.2898845892735913E-3</v>
      </c>
    </row>
    <row r="29" spans="1:8">
      <c r="A29" s="146">
        <v>22</v>
      </c>
      <c r="B29" s="140" t="s">
        <v>91</v>
      </c>
      <c r="C29" s="129">
        <v>0</v>
      </c>
      <c r="D29" s="64">
        <v>0</v>
      </c>
      <c r="E29" s="65">
        <v>20</v>
      </c>
      <c r="F29" s="65">
        <f>1339+20</f>
        <v>1359</v>
      </c>
      <c r="G29" s="87">
        <f t="shared" si="0"/>
        <v>1379</v>
      </c>
      <c r="H29" s="111">
        <f>G29/G31</f>
        <v>9.3618465716225396E-2</v>
      </c>
    </row>
    <row r="30" spans="1:8" ht="13.5" thickBot="1">
      <c r="A30" s="146">
        <v>23</v>
      </c>
      <c r="B30" s="141" t="s">
        <v>92</v>
      </c>
      <c r="C30" s="131"/>
      <c r="D30" s="69">
        <v>0</v>
      </c>
      <c r="E30" s="70">
        <v>0</v>
      </c>
      <c r="F30" s="65">
        <v>8</v>
      </c>
      <c r="G30" s="87">
        <f t="shared" si="0"/>
        <v>8</v>
      </c>
      <c r="H30" s="111">
        <f>G30/G31</f>
        <v>5.4310930074677531E-4</v>
      </c>
    </row>
    <row r="31" spans="1:8" ht="13.5" thickBot="1">
      <c r="A31" s="148"/>
      <c r="B31" s="133" t="s">
        <v>6</v>
      </c>
      <c r="C31" s="132">
        <f t="shared" ref="C31:H31" si="1">SUM(C8:C30)</f>
        <v>1</v>
      </c>
      <c r="D31" s="71">
        <f>SUM(D8:D30)</f>
        <v>9</v>
      </c>
      <c r="E31" s="71">
        <f t="shared" si="1"/>
        <v>1260</v>
      </c>
      <c r="F31" s="71">
        <f t="shared" si="1"/>
        <v>13460</v>
      </c>
      <c r="G31" s="72">
        <f t="shared" si="1"/>
        <v>14730</v>
      </c>
      <c r="H31" s="149">
        <f t="shared" si="1"/>
        <v>1.0000000000000002</v>
      </c>
    </row>
    <row r="32" spans="1:8">
      <c r="B32" s="40"/>
      <c r="F32" s="88"/>
      <c r="G32" s="89"/>
    </row>
    <row r="33" spans="1:9">
      <c r="A33" s="31" t="s">
        <v>128</v>
      </c>
      <c r="B33" s="31"/>
      <c r="C33" s="31"/>
      <c r="D33" s="31"/>
      <c r="E33" s="31"/>
      <c r="F33" s="31"/>
      <c r="G33" s="78" t="s">
        <v>12</v>
      </c>
      <c r="H33" s="31"/>
      <c r="I33" s="88"/>
    </row>
    <row r="34" spans="1:9">
      <c r="A34" s="90"/>
      <c r="B34" s="32">
        <v>42570</v>
      </c>
      <c r="C34" s="174"/>
      <c r="D34" s="174"/>
      <c r="E34" s="90"/>
      <c r="F34" s="31"/>
      <c r="G34" s="78" t="s">
        <v>93</v>
      </c>
      <c r="H34" s="31"/>
      <c r="I34" s="88"/>
    </row>
  </sheetData>
  <mergeCells count="7">
    <mergeCell ref="H6:H7"/>
    <mergeCell ref="C5:H5"/>
    <mergeCell ref="A3:G3"/>
    <mergeCell ref="A4:D4"/>
    <mergeCell ref="C6:D6"/>
    <mergeCell ref="E6:F6"/>
    <mergeCell ref="G6:G7"/>
  </mergeCells>
  <pageMargins left="0" right="0" top="0.35433070866141736" bottom="0.15748031496062992" header="0.31496062992125984" footer="0.31496062992125984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opLeftCell="A10" workbookViewId="0">
      <selection activeCell="G30" sqref="G30"/>
    </sheetView>
  </sheetViews>
  <sheetFormatPr defaultRowHeight="12.75"/>
  <cols>
    <col min="1" max="1" width="5.42578125" customWidth="1"/>
    <col min="2" max="2" width="53.85546875" customWidth="1"/>
    <col min="3" max="3" width="12.28515625" customWidth="1"/>
    <col min="4" max="4" width="12.42578125" customWidth="1"/>
    <col min="5" max="7" width="12.7109375" customWidth="1"/>
    <col min="8" max="8" width="12" customWidth="1"/>
  </cols>
  <sheetData>
    <row r="1" spans="1:8">
      <c r="A1" s="123" t="s">
        <v>106</v>
      </c>
      <c r="B1" s="25"/>
    </row>
    <row r="2" spans="1:8" ht="28.5" customHeight="1">
      <c r="A2" s="444" t="s">
        <v>140</v>
      </c>
      <c r="B2" s="444"/>
      <c r="C2" s="444"/>
      <c r="D2" s="444"/>
      <c r="E2" s="444"/>
      <c r="F2" s="444"/>
      <c r="G2" s="444"/>
    </row>
    <row r="3" spans="1:8" ht="1.5" customHeight="1" thickBot="1">
      <c r="A3" s="443"/>
      <c r="B3" s="443"/>
      <c r="C3" s="443"/>
    </row>
    <row r="4" spans="1:8" ht="16.5" customHeight="1">
      <c r="A4" s="143"/>
      <c r="B4" s="134"/>
      <c r="C4" s="457" t="s">
        <v>62</v>
      </c>
      <c r="D4" s="446"/>
      <c r="E4" s="446"/>
      <c r="F4" s="446"/>
      <c r="G4" s="446"/>
      <c r="H4" s="447"/>
    </row>
    <row r="5" spans="1:8" ht="16.5" customHeight="1">
      <c r="A5" s="144" t="s">
        <v>63</v>
      </c>
      <c r="B5" s="135" t="s">
        <v>64</v>
      </c>
      <c r="C5" s="458" t="s">
        <v>65</v>
      </c>
      <c r="D5" s="449"/>
      <c r="E5" s="450" t="s">
        <v>66</v>
      </c>
      <c r="F5" s="450"/>
      <c r="G5" s="473" t="s">
        <v>6</v>
      </c>
      <c r="H5" s="470" t="s">
        <v>116</v>
      </c>
    </row>
    <row r="6" spans="1:8" ht="24.75" customHeight="1" thickBot="1">
      <c r="A6" s="136"/>
      <c r="B6" s="136"/>
      <c r="C6" s="151" t="s">
        <v>67</v>
      </c>
      <c r="D6" s="106" t="s">
        <v>68</v>
      </c>
      <c r="E6" s="106" t="s">
        <v>68</v>
      </c>
      <c r="F6" s="106" t="s">
        <v>69</v>
      </c>
      <c r="G6" s="474"/>
      <c r="H6" s="471"/>
    </row>
    <row r="7" spans="1:8" ht="15" customHeight="1">
      <c r="A7" s="145">
        <v>1</v>
      </c>
      <c r="B7" s="137" t="s">
        <v>70</v>
      </c>
      <c r="C7" s="128">
        <v>0</v>
      </c>
      <c r="D7" s="83">
        <v>0</v>
      </c>
      <c r="E7" s="93">
        <v>0</v>
      </c>
      <c r="F7" s="93">
        <v>112</v>
      </c>
      <c r="G7" s="81">
        <f>SUM(C7+D7+E7+F7)</f>
        <v>112</v>
      </c>
      <c r="H7" s="154">
        <f>G7/G30</f>
        <v>8.0217733849018771E-3</v>
      </c>
    </row>
    <row r="8" spans="1:8" ht="15" customHeight="1">
      <c r="A8" s="146">
        <v>2</v>
      </c>
      <c r="B8" s="138" t="s">
        <v>71</v>
      </c>
      <c r="C8" s="129">
        <v>0</v>
      </c>
      <c r="D8" s="64">
        <v>0</v>
      </c>
      <c r="E8" s="65">
        <v>0</v>
      </c>
      <c r="F8" s="65">
        <v>23</v>
      </c>
      <c r="G8" s="104">
        <f>SUM(C8+D8+E8+F8)</f>
        <v>23</v>
      </c>
      <c r="H8" s="155">
        <f>G8/G30</f>
        <v>1.6473284629709211E-3</v>
      </c>
    </row>
    <row r="9" spans="1:8" ht="15" customHeight="1">
      <c r="A9" s="146">
        <v>3</v>
      </c>
      <c r="B9" s="138" t="s">
        <v>72</v>
      </c>
      <c r="C9" s="129">
        <v>1</v>
      </c>
      <c r="D9" s="64">
        <v>0</v>
      </c>
      <c r="E9" s="65">
        <v>0</v>
      </c>
      <c r="F9" s="65">
        <f>971+1</f>
        <v>972</v>
      </c>
      <c r="G9" s="104">
        <f t="shared" ref="G9:G29" si="0">SUM(C9+D9+E9+F9)</f>
        <v>973</v>
      </c>
      <c r="H9" s="155">
        <f>G9/G30</f>
        <v>6.9689156281335055E-2</v>
      </c>
    </row>
    <row r="10" spans="1:8" ht="28.5" customHeight="1">
      <c r="A10" s="146">
        <v>4</v>
      </c>
      <c r="B10" s="138" t="s">
        <v>73</v>
      </c>
      <c r="C10" s="130">
        <v>0</v>
      </c>
      <c r="D10" s="67">
        <v>0</v>
      </c>
      <c r="E10" s="68">
        <v>0</v>
      </c>
      <c r="F10" s="60">
        <v>17</v>
      </c>
      <c r="G10" s="105">
        <f t="shared" si="0"/>
        <v>17</v>
      </c>
      <c r="H10" s="155">
        <f>G10/G30</f>
        <v>1.2175906030654634E-3</v>
      </c>
    </row>
    <row r="11" spans="1:8" ht="24.75" customHeight="1">
      <c r="A11" s="146">
        <v>5</v>
      </c>
      <c r="B11" s="138" t="s">
        <v>74</v>
      </c>
      <c r="C11" s="129">
        <v>0</v>
      </c>
      <c r="D11" s="64">
        <v>0</v>
      </c>
      <c r="E11" s="65">
        <v>0</v>
      </c>
      <c r="F11" s="65">
        <v>7</v>
      </c>
      <c r="G11" s="105">
        <f t="shared" si="0"/>
        <v>7</v>
      </c>
      <c r="H11" s="155">
        <f>G11/G30</f>
        <v>5.0136083655636732E-4</v>
      </c>
    </row>
    <row r="12" spans="1:8" ht="15" customHeight="1">
      <c r="A12" s="146">
        <v>6</v>
      </c>
      <c r="B12" s="138" t="s">
        <v>75</v>
      </c>
      <c r="C12" s="130">
        <v>0</v>
      </c>
      <c r="D12" s="59">
        <v>0</v>
      </c>
      <c r="E12" s="60">
        <v>8</v>
      </c>
      <c r="F12" s="60">
        <v>1042</v>
      </c>
      <c r="G12" s="105">
        <f t="shared" si="0"/>
        <v>1050</v>
      </c>
      <c r="H12" s="155">
        <f>G12/G30</f>
        <v>7.5204125483455092E-2</v>
      </c>
    </row>
    <row r="13" spans="1:8" ht="15" customHeight="1">
      <c r="A13" s="146">
        <v>7</v>
      </c>
      <c r="B13" s="138" t="s">
        <v>76</v>
      </c>
      <c r="C13" s="130">
        <v>0</v>
      </c>
      <c r="D13" s="59">
        <v>0</v>
      </c>
      <c r="E13" s="60">
        <v>9</v>
      </c>
      <c r="F13" s="60">
        <f>2687+1</f>
        <v>2688</v>
      </c>
      <c r="G13" s="105">
        <f t="shared" si="0"/>
        <v>2697</v>
      </c>
      <c r="H13" s="155">
        <f>G13/G30</f>
        <v>0.19316716802750322</v>
      </c>
    </row>
    <row r="14" spans="1:8" ht="15" customHeight="1">
      <c r="A14" s="146">
        <v>8</v>
      </c>
      <c r="B14" s="138" t="s">
        <v>77</v>
      </c>
      <c r="C14" s="130">
        <v>0</v>
      </c>
      <c r="D14" s="59">
        <v>0</v>
      </c>
      <c r="E14" s="59">
        <v>1</v>
      </c>
      <c r="F14" s="60">
        <v>413</v>
      </c>
      <c r="G14" s="105">
        <f t="shared" si="0"/>
        <v>414</v>
      </c>
      <c r="H14" s="155">
        <f>G14/G30</f>
        <v>2.9651912333476579E-2</v>
      </c>
    </row>
    <row r="15" spans="1:8" ht="31.5" customHeight="1">
      <c r="A15" s="146">
        <v>9</v>
      </c>
      <c r="B15" s="138" t="s">
        <v>78</v>
      </c>
      <c r="C15" s="129">
        <v>0</v>
      </c>
      <c r="D15" s="64">
        <v>2</v>
      </c>
      <c r="E15" s="59">
        <v>307</v>
      </c>
      <c r="F15" s="65">
        <f>1243+2</f>
        <v>1245</v>
      </c>
      <c r="G15" s="105">
        <f t="shared" si="0"/>
        <v>1554</v>
      </c>
      <c r="H15" s="155">
        <f>G15/G30</f>
        <v>0.11130210571551354</v>
      </c>
    </row>
    <row r="16" spans="1:8" ht="15" customHeight="1">
      <c r="A16" s="146">
        <v>10</v>
      </c>
      <c r="B16" s="138" t="s">
        <v>79</v>
      </c>
      <c r="C16" s="129">
        <v>0</v>
      </c>
      <c r="D16" s="64">
        <v>0</v>
      </c>
      <c r="E16" s="65">
        <v>0</v>
      </c>
      <c r="F16" s="65">
        <v>320</v>
      </c>
      <c r="G16" s="104">
        <f t="shared" si="0"/>
        <v>320</v>
      </c>
      <c r="H16" s="155">
        <f>G16/G30</f>
        <v>2.2919352528291075E-2</v>
      </c>
    </row>
    <row r="17" spans="1:8" ht="15" customHeight="1">
      <c r="A17" s="146">
        <v>11</v>
      </c>
      <c r="B17" s="138" t="s">
        <v>80</v>
      </c>
      <c r="C17" s="129">
        <v>0</v>
      </c>
      <c r="D17" s="64">
        <v>0</v>
      </c>
      <c r="E17" s="65">
        <v>0</v>
      </c>
      <c r="F17" s="60">
        <v>879</v>
      </c>
      <c r="G17" s="105">
        <f t="shared" si="0"/>
        <v>879</v>
      </c>
      <c r="H17" s="155">
        <f>G17/G30</f>
        <v>6.2956596476149554E-2</v>
      </c>
    </row>
    <row r="18" spans="1:8" ht="15" customHeight="1">
      <c r="A18" s="146">
        <v>12</v>
      </c>
      <c r="B18" s="138" t="s">
        <v>81</v>
      </c>
      <c r="C18" s="129">
        <v>0</v>
      </c>
      <c r="D18" s="64">
        <v>0</v>
      </c>
      <c r="E18" s="65">
        <v>1</v>
      </c>
      <c r="F18" s="65">
        <v>78</v>
      </c>
      <c r="G18" s="104">
        <f t="shared" si="0"/>
        <v>79</v>
      </c>
      <c r="H18" s="155">
        <f>G18/G30</f>
        <v>5.6582151554218597E-3</v>
      </c>
    </row>
    <row r="19" spans="1:8" ht="15" customHeight="1">
      <c r="A19" s="146">
        <v>13</v>
      </c>
      <c r="B19" s="138" t="s">
        <v>82</v>
      </c>
      <c r="C19" s="129">
        <v>0</v>
      </c>
      <c r="D19" s="64">
        <v>0</v>
      </c>
      <c r="E19" s="65">
        <v>0</v>
      </c>
      <c r="F19" s="65">
        <v>718</v>
      </c>
      <c r="G19" s="104">
        <f t="shared" si="0"/>
        <v>718</v>
      </c>
      <c r="H19" s="155">
        <f>G19/G30</f>
        <v>5.14252972353531E-2</v>
      </c>
    </row>
    <row r="20" spans="1:8" ht="15" customHeight="1">
      <c r="A20" s="146">
        <v>14</v>
      </c>
      <c r="B20" s="138" t="s">
        <v>83</v>
      </c>
      <c r="C20" s="129">
        <v>0</v>
      </c>
      <c r="D20" s="64">
        <v>0</v>
      </c>
      <c r="E20" s="65">
        <v>3</v>
      </c>
      <c r="F20" s="65">
        <f>326+1</f>
        <v>327</v>
      </c>
      <c r="G20" s="104">
        <f t="shared" si="0"/>
        <v>330</v>
      </c>
      <c r="H20" s="155">
        <f>G20/G30</f>
        <v>2.3635582294800173E-2</v>
      </c>
    </row>
    <row r="21" spans="1:8" ht="15" customHeight="1">
      <c r="A21" s="147">
        <v>15</v>
      </c>
      <c r="B21" s="138" t="s">
        <v>84</v>
      </c>
      <c r="C21" s="129">
        <v>0</v>
      </c>
      <c r="D21" s="64">
        <v>0</v>
      </c>
      <c r="E21" s="65">
        <v>0</v>
      </c>
      <c r="F21" s="65">
        <f>1174+1</f>
        <v>1175</v>
      </c>
      <c r="G21" s="104">
        <f t="shared" si="0"/>
        <v>1175</v>
      </c>
      <c r="H21" s="155">
        <f>G21/G30</f>
        <v>8.41569975648188E-2</v>
      </c>
    </row>
    <row r="22" spans="1:8" ht="15" customHeight="1">
      <c r="A22" s="146">
        <v>16</v>
      </c>
      <c r="B22" s="138" t="s">
        <v>85</v>
      </c>
      <c r="C22" s="129">
        <v>0</v>
      </c>
      <c r="D22" s="64">
        <v>0</v>
      </c>
      <c r="E22" s="65">
        <v>0</v>
      </c>
      <c r="F22" s="65">
        <v>1320</v>
      </c>
      <c r="G22" s="105">
        <f t="shared" si="0"/>
        <v>1320</v>
      </c>
      <c r="H22" s="155">
        <f>G22/G30</f>
        <v>9.454232917920069E-2</v>
      </c>
    </row>
    <row r="23" spans="1:8" ht="27" customHeight="1">
      <c r="A23" s="147">
        <v>17</v>
      </c>
      <c r="B23" s="138" t="s">
        <v>86</v>
      </c>
      <c r="C23" s="129">
        <v>0</v>
      </c>
      <c r="D23" s="64">
        <v>0</v>
      </c>
      <c r="E23" s="65">
        <v>0</v>
      </c>
      <c r="F23" s="65">
        <v>246</v>
      </c>
      <c r="G23" s="104">
        <f t="shared" si="0"/>
        <v>246</v>
      </c>
      <c r="H23" s="155">
        <f>G23/G30</f>
        <v>1.7619252256123763E-2</v>
      </c>
    </row>
    <row r="24" spans="1:8" ht="15" customHeight="1">
      <c r="A24" s="146">
        <v>18</v>
      </c>
      <c r="B24" s="139" t="s">
        <v>87</v>
      </c>
      <c r="C24" s="129">
        <v>0</v>
      </c>
      <c r="D24" s="64">
        <v>0</v>
      </c>
      <c r="E24" s="65">
        <v>3</v>
      </c>
      <c r="F24" s="65">
        <v>241</v>
      </c>
      <c r="G24" s="104">
        <f t="shared" si="0"/>
        <v>244</v>
      </c>
      <c r="H24" s="155">
        <f>G24/G30</f>
        <v>1.7476006302821947E-2</v>
      </c>
    </row>
    <row r="25" spans="1:8" ht="15" customHeight="1">
      <c r="A25" s="146">
        <v>19</v>
      </c>
      <c r="B25" s="139" t="s">
        <v>88</v>
      </c>
      <c r="C25" s="129">
        <v>0</v>
      </c>
      <c r="D25" s="64">
        <v>0</v>
      </c>
      <c r="E25" s="65">
        <v>3</v>
      </c>
      <c r="F25" s="65">
        <v>287</v>
      </c>
      <c r="G25" s="104">
        <f t="shared" si="0"/>
        <v>290</v>
      </c>
      <c r="H25" s="155">
        <f>G25/G30</f>
        <v>2.0770663228763787E-2</v>
      </c>
    </row>
    <row r="26" spans="1:8" ht="38.25" customHeight="1">
      <c r="A26" s="147">
        <v>20</v>
      </c>
      <c r="B26" s="139" t="s">
        <v>89</v>
      </c>
      <c r="C26" s="129">
        <v>0</v>
      </c>
      <c r="D26" s="64">
        <v>0</v>
      </c>
      <c r="E26" s="65">
        <v>0</v>
      </c>
      <c r="F26" s="65">
        <v>31</v>
      </c>
      <c r="G26" s="107">
        <f t="shared" si="0"/>
        <v>31</v>
      </c>
      <c r="H26" s="155">
        <f>G26/G30</f>
        <v>2.2203122761781978E-3</v>
      </c>
    </row>
    <row r="27" spans="1:8" ht="15" customHeight="1">
      <c r="A27" s="146">
        <v>21</v>
      </c>
      <c r="B27" s="139" t="s">
        <v>90</v>
      </c>
      <c r="C27" s="129">
        <v>0</v>
      </c>
      <c r="D27" s="64">
        <v>0</v>
      </c>
      <c r="E27" s="65">
        <v>0</v>
      </c>
      <c r="F27" s="65">
        <v>15</v>
      </c>
      <c r="G27" s="104">
        <f t="shared" si="0"/>
        <v>15</v>
      </c>
      <c r="H27" s="155">
        <f>G27/G30</f>
        <v>1.0743446497636442E-3</v>
      </c>
    </row>
    <row r="28" spans="1:8" ht="15" customHeight="1">
      <c r="A28" s="146">
        <v>22</v>
      </c>
      <c r="B28" s="140" t="s">
        <v>91</v>
      </c>
      <c r="C28" s="129">
        <v>0</v>
      </c>
      <c r="D28" s="64">
        <v>0</v>
      </c>
      <c r="E28" s="65">
        <v>3</v>
      </c>
      <c r="F28" s="65">
        <f>1441+21</f>
        <v>1462</v>
      </c>
      <c r="G28" s="104">
        <f t="shared" si="0"/>
        <v>1465</v>
      </c>
      <c r="H28" s="155">
        <f>G28/G30</f>
        <v>0.10492766079358258</v>
      </c>
    </row>
    <row r="29" spans="1:8" ht="15" customHeight="1" thickBot="1">
      <c r="A29" s="146">
        <v>23</v>
      </c>
      <c r="B29" s="141" t="s">
        <v>92</v>
      </c>
      <c r="C29" s="131">
        <v>0</v>
      </c>
      <c r="D29" s="69">
        <v>0</v>
      </c>
      <c r="E29" s="70">
        <v>0</v>
      </c>
      <c r="F29" s="70">
        <v>3</v>
      </c>
      <c r="G29" s="107">
        <f t="shared" si="0"/>
        <v>3</v>
      </c>
      <c r="H29" s="156">
        <f>G29/G30</f>
        <v>2.1486892995272884E-4</v>
      </c>
    </row>
    <row r="30" spans="1:8" ht="15" customHeight="1" thickBot="1">
      <c r="A30" s="148"/>
      <c r="B30" s="133" t="s">
        <v>6</v>
      </c>
      <c r="C30" s="132">
        <f t="shared" ref="C30:H30" si="1">SUM(C7:C29)</f>
        <v>1</v>
      </c>
      <c r="D30" s="71">
        <f t="shared" si="1"/>
        <v>2</v>
      </c>
      <c r="E30" s="71">
        <f>SUM(E7:E29)</f>
        <v>338</v>
      </c>
      <c r="F30" s="71">
        <f t="shared" si="1"/>
        <v>13621</v>
      </c>
      <c r="G30" s="82">
        <f t="shared" si="1"/>
        <v>13962</v>
      </c>
      <c r="H30" s="157">
        <f t="shared" si="1"/>
        <v>0.99999999999999989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318" t="s">
        <v>147</v>
      </c>
      <c r="B32" s="40"/>
      <c r="F32" s="88" t="s">
        <v>12</v>
      </c>
    </row>
    <row r="33" spans="1:6">
      <c r="A33" s="472">
        <v>42612</v>
      </c>
      <c r="B33" s="472"/>
      <c r="F33" s="88" t="s">
        <v>93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2" sqref="A2:G2"/>
    </sheetView>
  </sheetViews>
  <sheetFormatPr defaultRowHeight="12.75"/>
  <cols>
    <col min="1" max="1" width="5.28515625" customWidth="1"/>
    <col min="2" max="2" width="50.85546875" customWidth="1"/>
    <col min="3" max="7" width="12.7109375" customWidth="1"/>
    <col min="8" max="8" width="13.28515625" customWidth="1"/>
  </cols>
  <sheetData>
    <row r="1" spans="1:8">
      <c r="A1" s="123" t="s">
        <v>105</v>
      </c>
      <c r="B1" s="25"/>
    </row>
    <row r="2" spans="1:8" ht="26.25" customHeight="1">
      <c r="A2" s="444" t="s">
        <v>141</v>
      </c>
      <c r="B2" s="444"/>
      <c r="C2" s="444"/>
      <c r="D2" s="444"/>
      <c r="E2" s="444"/>
      <c r="F2" s="444"/>
      <c r="G2" s="444"/>
    </row>
    <row r="3" spans="1:8" ht="16.5" thickBot="1">
      <c r="A3" s="443"/>
      <c r="B3" s="443"/>
      <c r="C3" s="443"/>
    </row>
    <row r="4" spans="1:8" ht="18" customHeight="1">
      <c r="A4" s="143"/>
      <c r="B4" s="134"/>
      <c r="C4" s="457" t="s">
        <v>62</v>
      </c>
      <c r="D4" s="446"/>
      <c r="E4" s="446"/>
      <c r="F4" s="446"/>
      <c r="G4" s="446"/>
      <c r="H4" s="477"/>
    </row>
    <row r="5" spans="1:8" ht="18.75" customHeight="1">
      <c r="A5" s="144" t="s">
        <v>63</v>
      </c>
      <c r="B5" s="135" t="s">
        <v>64</v>
      </c>
      <c r="C5" s="458" t="s">
        <v>65</v>
      </c>
      <c r="D5" s="449"/>
      <c r="E5" s="450" t="s">
        <v>66</v>
      </c>
      <c r="F5" s="450"/>
      <c r="G5" s="451" t="s">
        <v>6</v>
      </c>
      <c r="H5" s="475" t="s">
        <v>116</v>
      </c>
    </row>
    <row r="6" spans="1:8" ht="24.75" customHeight="1" thickBot="1">
      <c r="A6" s="136"/>
      <c r="B6" s="136"/>
      <c r="C6" s="151" t="s">
        <v>67</v>
      </c>
      <c r="D6" s="106" t="s">
        <v>68</v>
      </c>
      <c r="E6" s="106" t="s">
        <v>68</v>
      </c>
      <c r="F6" s="106" t="s">
        <v>69</v>
      </c>
      <c r="G6" s="479"/>
      <c r="H6" s="476"/>
    </row>
    <row r="7" spans="1:8" ht="15" customHeight="1">
      <c r="A7" s="145">
        <v>1</v>
      </c>
      <c r="B7" s="137" t="s">
        <v>70</v>
      </c>
      <c r="C7" s="128">
        <v>0</v>
      </c>
      <c r="D7" s="83">
        <v>0</v>
      </c>
      <c r="E7" s="93">
        <v>0</v>
      </c>
      <c r="F7" s="93">
        <v>105</v>
      </c>
      <c r="G7" s="81">
        <f>SUM(C7+D7+E7+F7)</f>
        <v>105</v>
      </c>
      <c r="H7" s="110">
        <f>G7/G30</f>
        <v>6.9619413870839414E-3</v>
      </c>
    </row>
    <row r="8" spans="1:8" ht="15" customHeight="1">
      <c r="A8" s="146">
        <v>2</v>
      </c>
      <c r="B8" s="138" t="s">
        <v>71</v>
      </c>
      <c r="C8" s="129">
        <v>0</v>
      </c>
      <c r="D8" s="64">
        <v>0</v>
      </c>
      <c r="E8" s="65">
        <v>0</v>
      </c>
      <c r="F8" s="65">
        <v>26</v>
      </c>
      <c r="G8" s="104">
        <f>SUM(C8+D8+E8+F8)</f>
        <v>26</v>
      </c>
      <c r="H8" s="111">
        <f>G8/G30</f>
        <v>1.7239092958493568E-3</v>
      </c>
    </row>
    <row r="9" spans="1:8" ht="15" customHeight="1">
      <c r="A9" s="146">
        <v>3</v>
      </c>
      <c r="B9" s="138" t="s">
        <v>72</v>
      </c>
      <c r="C9" s="129">
        <v>1</v>
      </c>
      <c r="D9" s="64">
        <v>0</v>
      </c>
      <c r="E9" s="65">
        <v>0</v>
      </c>
      <c r="F9" s="65">
        <v>942</v>
      </c>
      <c r="G9" s="104">
        <f t="shared" ref="G9:G29" si="0">SUM(C9+D9+E9+F9)</f>
        <v>943</v>
      </c>
      <c r="H9" s="111">
        <f>G9/G30</f>
        <v>6.2524864076382441E-2</v>
      </c>
    </row>
    <row r="10" spans="1:8" ht="15" customHeight="1">
      <c r="A10" s="146">
        <v>4</v>
      </c>
      <c r="B10" s="138" t="s">
        <v>73</v>
      </c>
      <c r="C10" s="130">
        <v>0</v>
      </c>
      <c r="D10" s="67">
        <v>0</v>
      </c>
      <c r="E10" s="68">
        <v>0</v>
      </c>
      <c r="F10" s="60">
        <v>15</v>
      </c>
      <c r="G10" s="105">
        <f t="shared" si="0"/>
        <v>15</v>
      </c>
      <c r="H10" s="111">
        <f>G10/G30</f>
        <v>9.9456305529770582E-4</v>
      </c>
    </row>
    <row r="11" spans="1:8" ht="24.75" customHeight="1">
      <c r="A11" s="146">
        <v>5</v>
      </c>
      <c r="B11" s="138" t="s">
        <v>74</v>
      </c>
      <c r="C11" s="129">
        <v>0</v>
      </c>
      <c r="D11" s="64">
        <v>0</v>
      </c>
      <c r="E11" s="65">
        <v>0</v>
      </c>
      <c r="F11" s="65">
        <v>8</v>
      </c>
      <c r="G11" s="105">
        <f t="shared" si="0"/>
        <v>8</v>
      </c>
      <c r="H11" s="111">
        <f>G11/G30</f>
        <v>5.3043362949210977E-4</v>
      </c>
    </row>
    <row r="12" spans="1:8" ht="15" customHeight="1">
      <c r="A12" s="146">
        <v>6</v>
      </c>
      <c r="B12" s="138" t="s">
        <v>75</v>
      </c>
      <c r="C12" s="130">
        <v>0</v>
      </c>
      <c r="D12" s="59">
        <v>0</v>
      </c>
      <c r="E12" s="60">
        <v>6</v>
      </c>
      <c r="F12" s="60">
        <v>955</v>
      </c>
      <c r="G12" s="105">
        <f t="shared" si="0"/>
        <v>961</v>
      </c>
      <c r="H12" s="111">
        <f>G12/G30</f>
        <v>6.3718339742739688E-2</v>
      </c>
    </row>
    <row r="13" spans="1:8" ht="24.75" customHeight="1">
      <c r="A13" s="146">
        <v>7</v>
      </c>
      <c r="B13" s="138" t="s">
        <v>76</v>
      </c>
      <c r="C13" s="130">
        <v>0</v>
      </c>
      <c r="D13" s="59">
        <v>0</v>
      </c>
      <c r="E13" s="60">
        <v>8</v>
      </c>
      <c r="F13" s="60">
        <f>2727+1</f>
        <v>2728</v>
      </c>
      <c r="G13" s="105">
        <f t="shared" si="0"/>
        <v>2736</v>
      </c>
      <c r="H13" s="111">
        <f>G13/G30</f>
        <v>0.18140830128630156</v>
      </c>
    </row>
    <row r="14" spans="1:8" ht="15" customHeight="1">
      <c r="A14" s="146">
        <v>8</v>
      </c>
      <c r="B14" s="138" t="s">
        <v>77</v>
      </c>
      <c r="C14" s="130">
        <v>0</v>
      </c>
      <c r="D14" s="59">
        <v>0</v>
      </c>
      <c r="E14" s="59">
        <v>0</v>
      </c>
      <c r="F14" s="60">
        <v>370</v>
      </c>
      <c r="G14" s="105">
        <f t="shared" si="0"/>
        <v>370</v>
      </c>
      <c r="H14" s="111">
        <f>G14/G30</f>
        <v>2.4532555364010077E-2</v>
      </c>
    </row>
    <row r="15" spans="1:8" ht="15" customHeight="1">
      <c r="A15" s="146">
        <v>9</v>
      </c>
      <c r="B15" s="138" t="s">
        <v>78</v>
      </c>
      <c r="C15" s="129">
        <v>0</v>
      </c>
      <c r="D15" s="64">
        <v>1</v>
      </c>
      <c r="E15" s="59">
        <v>242</v>
      </c>
      <c r="F15" s="65">
        <f>1180+2</f>
        <v>1182</v>
      </c>
      <c r="G15" s="105">
        <f t="shared" si="0"/>
        <v>1425</v>
      </c>
      <c r="H15" s="111">
        <f>G15/G30</f>
        <v>9.4483490253282051E-2</v>
      </c>
    </row>
    <row r="16" spans="1:8" ht="15" customHeight="1">
      <c r="A16" s="146">
        <v>10</v>
      </c>
      <c r="B16" s="138" t="s">
        <v>79</v>
      </c>
      <c r="C16" s="129">
        <v>0</v>
      </c>
      <c r="D16" s="64">
        <v>0</v>
      </c>
      <c r="E16" s="65">
        <v>0</v>
      </c>
      <c r="F16" s="65">
        <v>340</v>
      </c>
      <c r="G16" s="104">
        <f t="shared" si="0"/>
        <v>340</v>
      </c>
      <c r="H16" s="111">
        <f>G16/G30</f>
        <v>2.2543429253414668E-2</v>
      </c>
    </row>
    <row r="17" spans="1:8" ht="15" customHeight="1">
      <c r="A17" s="146">
        <v>11</v>
      </c>
      <c r="B17" s="138" t="s">
        <v>80</v>
      </c>
      <c r="C17" s="129">
        <v>0</v>
      </c>
      <c r="D17" s="64">
        <v>0</v>
      </c>
      <c r="E17" s="65">
        <v>0</v>
      </c>
      <c r="F17" s="60">
        <v>894</v>
      </c>
      <c r="G17" s="105">
        <f t="shared" si="0"/>
        <v>894</v>
      </c>
      <c r="H17" s="111">
        <f>G17/G30</f>
        <v>5.9275958095743271E-2</v>
      </c>
    </row>
    <row r="18" spans="1:8" ht="15" customHeight="1">
      <c r="A18" s="146">
        <v>12</v>
      </c>
      <c r="B18" s="138" t="s">
        <v>81</v>
      </c>
      <c r="C18" s="129">
        <v>0</v>
      </c>
      <c r="D18" s="64">
        <v>0</v>
      </c>
      <c r="E18" s="65">
        <v>0</v>
      </c>
      <c r="F18" s="65">
        <v>71</v>
      </c>
      <c r="G18" s="104">
        <f t="shared" si="0"/>
        <v>71</v>
      </c>
      <c r="H18" s="111">
        <f>G18/G30</f>
        <v>4.7075984617424745E-3</v>
      </c>
    </row>
    <row r="19" spans="1:8" ht="15" customHeight="1">
      <c r="A19" s="146">
        <v>13</v>
      </c>
      <c r="B19" s="138" t="s">
        <v>82</v>
      </c>
      <c r="C19" s="129">
        <v>0</v>
      </c>
      <c r="D19" s="64">
        <v>0</v>
      </c>
      <c r="E19" s="65">
        <v>0</v>
      </c>
      <c r="F19" s="65">
        <v>716</v>
      </c>
      <c r="G19" s="104">
        <f t="shared" si="0"/>
        <v>716</v>
      </c>
      <c r="H19" s="111">
        <f>G19/G30</f>
        <v>4.7473809839543829E-2</v>
      </c>
    </row>
    <row r="20" spans="1:8" ht="15" customHeight="1">
      <c r="A20" s="146">
        <v>14</v>
      </c>
      <c r="B20" s="138" t="s">
        <v>83</v>
      </c>
      <c r="C20" s="129">
        <v>0</v>
      </c>
      <c r="D20" s="64">
        <v>0</v>
      </c>
      <c r="E20" s="65">
        <v>3</v>
      </c>
      <c r="F20" s="65">
        <f>308+1</f>
        <v>309</v>
      </c>
      <c r="G20" s="104">
        <f t="shared" si="0"/>
        <v>312</v>
      </c>
      <c r="H20" s="111">
        <f>G20/G30</f>
        <v>2.0686911550192283E-2</v>
      </c>
    </row>
    <row r="21" spans="1:8" ht="15" customHeight="1">
      <c r="A21" s="147">
        <v>15</v>
      </c>
      <c r="B21" s="138" t="s">
        <v>84</v>
      </c>
      <c r="C21" s="129">
        <v>0</v>
      </c>
      <c r="D21" s="64">
        <v>0</v>
      </c>
      <c r="E21" s="65">
        <v>0</v>
      </c>
      <c r="F21" s="65">
        <v>1555</v>
      </c>
      <c r="G21" s="104">
        <f t="shared" si="0"/>
        <v>1555</v>
      </c>
      <c r="H21" s="111">
        <f>G21/G30</f>
        <v>0.10310303673252884</v>
      </c>
    </row>
    <row r="22" spans="1:8" ht="15" customHeight="1">
      <c r="A22" s="146">
        <v>16</v>
      </c>
      <c r="B22" s="138" t="s">
        <v>85</v>
      </c>
      <c r="C22" s="129">
        <v>0</v>
      </c>
      <c r="D22" s="64">
        <v>0</v>
      </c>
      <c r="E22" s="65">
        <v>0</v>
      </c>
      <c r="F22" s="65">
        <v>2276</v>
      </c>
      <c r="G22" s="105">
        <f t="shared" si="0"/>
        <v>2276</v>
      </c>
      <c r="H22" s="111">
        <f>G22/G30</f>
        <v>0.15090836759050524</v>
      </c>
    </row>
    <row r="23" spans="1:8" ht="24.75" customHeight="1">
      <c r="A23" s="147">
        <v>17</v>
      </c>
      <c r="B23" s="138" t="s">
        <v>86</v>
      </c>
      <c r="C23" s="129">
        <v>0</v>
      </c>
      <c r="D23" s="64">
        <v>0</v>
      </c>
      <c r="E23" s="65">
        <v>0</v>
      </c>
      <c r="F23" s="65">
        <v>254</v>
      </c>
      <c r="G23" s="104">
        <f t="shared" si="0"/>
        <v>254</v>
      </c>
      <c r="H23" s="111">
        <f>G23/G30</f>
        <v>1.6841267736374486E-2</v>
      </c>
    </row>
    <row r="24" spans="1:8" ht="15" customHeight="1">
      <c r="A24" s="146">
        <v>18</v>
      </c>
      <c r="B24" s="139" t="s">
        <v>87</v>
      </c>
      <c r="C24" s="129">
        <v>0</v>
      </c>
      <c r="D24" s="64">
        <v>0</v>
      </c>
      <c r="E24" s="65">
        <v>3</v>
      </c>
      <c r="F24" s="65">
        <v>230</v>
      </c>
      <c r="G24" s="104">
        <f t="shared" si="0"/>
        <v>233</v>
      </c>
      <c r="H24" s="111">
        <f>G24/G30</f>
        <v>1.5448879458957699E-2</v>
      </c>
    </row>
    <row r="25" spans="1:8" ht="15" customHeight="1">
      <c r="A25" s="146">
        <v>19</v>
      </c>
      <c r="B25" s="139" t="s">
        <v>88</v>
      </c>
      <c r="C25" s="129">
        <v>0</v>
      </c>
      <c r="D25" s="64">
        <v>0</v>
      </c>
      <c r="E25" s="65">
        <v>1</v>
      </c>
      <c r="F25" s="65">
        <v>369</v>
      </c>
      <c r="G25" s="104">
        <f t="shared" si="0"/>
        <v>370</v>
      </c>
      <c r="H25" s="111">
        <f>G25/G30</f>
        <v>2.4532555364010077E-2</v>
      </c>
    </row>
    <row r="26" spans="1:8" ht="39" customHeight="1">
      <c r="A26" s="147">
        <v>20</v>
      </c>
      <c r="B26" s="139" t="s">
        <v>89</v>
      </c>
      <c r="C26" s="129">
        <v>0</v>
      </c>
      <c r="D26" s="64">
        <v>0</v>
      </c>
      <c r="E26" s="65">
        <v>0</v>
      </c>
      <c r="F26" s="65">
        <v>28</v>
      </c>
      <c r="G26" s="107">
        <f t="shared" si="0"/>
        <v>28</v>
      </c>
      <c r="H26" s="111">
        <f>G26/G30</f>
        <v>1.8565177032223842E-3</v>
      </c>
    </row>
    <row r="27" spans="1:8" ht="15" customHeight="1">
      <c r="A27" s="146">
        <v>21</v>
      </c>
      <c r="B27" s="139" t="s">
        <v>90</v>
      </c>
      <c r="C27" s="129">
        <v>0</v>
      </c>
      <c r="D27" s="64">
        <v>0</v>
      </c>
      <c r="E27" s="65">
        <v>0</v>
      </c>
      <c r="F27" s="65">
        <v>16</v>
      </c>
      <c r="G27" s="104">
        <f t="shared" si="0"/>
        <v>16</v>
      </c>
      <c r="H27" s="111">
        <f>G27/G30</f>
        <v>1.0608672589842195E-3</v>
      </c>
    </row>
    <row r="28" spans="1:8" ht="15" customHeight="1">
      <c r="A28" s="146">
        <v>22</v>
      </c>
      <c r="B28" s="140" t="s">
        <v>91</v>
      </c>
      <c r="C28" s="129">
        <v>0</v>
      </c>
      <c r="D28" s="64">
        <v>0</v>
      </c>
      <c r="E28" s="65">
        <v>3</v>
      </c>
      <c r="F28" s="65">
        <f>1398+23</f>
        <v>1421</v>
      </c>
      <c r="G28" s="104">
        <f t="shared" si="0"/>
        <v>1424</v>
      </c>
      <c r="H28" s="111">
        <f>G28/G30</f>
        <v>9.441718604959555E-2</v>
      </c>
    </row>
    <row r="29" spans="1:8" ht="15" customHeight="1" thickBot="1">
      <c r="A29" s="146">
        <v>23</v>
      </c>
      <c r="B29" s="141" t="s">
        <v>92</v>
      </c>
      <c r="C29" s="131">
        <v>0</v>
      </c>
      <c r="D29" s="69">
        <v>0</v>
      </c>
      <c r="E29" s="70">
        <v>0</v>
      </c>
      <c r="F29" s="70">
        <v>4</v>
      </c>
      <c r="G29" s="107">
        <f t="shared" si="0"/>
        <v>4</v>
      </c>
      <c r="H29" s="158">
        <f>G29/G30</f>
        <v>2.6521681474605489E-4</v>
      </c>
    </row>
    <row r="30" spans="1:8" ht="15" customHeight="1" thickBot="1">
      <c r="A30" s="148"/>
      <c r="B30" s="133" t="s">
        <v>6</v>
      </c>
      <c r="C30" s="132">
        <f t="shared" ref="C30:H30" si="1">SUM(C7:C29)</f>
        <v>1</v>
      </c>
      <c r="D30" s="71">
        <f t="shared" si="1"/>
        <v>1</v>
      </c>
      <c r="E30" s="71">
        <f t="shared" si="1"/>
        <v>266</v>
      </c>
      <c r="F30" s="71">
        <f t="shared" si="1"/>
        <v>14814</v>
      </c>
      <c r="G30" s="82">
        <f t="shared" si="1"/>
        <v>15082</v>
      </c>
      <c r="H30" s="157">
        <f t="shared" si="1"/>
        <v>1.0000000000000002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318" t="s">
        <v>148</v>
      </c>
      <c r="B32" s="40"/>
      <c r="F32" s="88" t="s">
        <v>12</v>
      </c>
    </row>
    <row r="33" spans="1:6">
      <c r="A33" s="478">
        <v>42632</v>
      </c>
      <c r="B33" s="478"/>
      <c r="F33" s="88" t="s">
        <v>93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11811023622047245" right="0.11811023622047245" top="0.35433070866141736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4"/>
  <sheetViews>
    <sheetView workbookViewId="0">
      <selection activeCell="G31" sqref="G31"/>
    </sheetView>
  </sheetViews>
  <sheetFormatPr defaultRowHeight="12.75"/>
  <cols>
    <col min="1" max="1" width="5.42578125" customWidth="1"/>
    <col min="2" max="2" width="55.5703125" customWidth="1"/>
    <col min="3" max="7" width="12.7109375" customWidth="1"/>
    <col min="8" max="8" width="11.7109375" customWidth="1"/>
  </cols>
  <sheetData>
    <row r="2" spans="1:8">
      <c r="A2" s="123" t="s">
        <v>112</v>
      </c>
      <c r="B2" s="25"/>
    </row>
    <row r="3" spans="1:8" ht="27" customHeight="1">
      <c r="A3" s="444" t="s">
        <v>142</v>
      </c>
      <c r="B3" s="444"/>
      <c r="C3" s="444"/>
      <c r="D3" s="444"/>
      <c r="E3" s="444"/>
      <c r="F3" s="444"/>
      <c r="G3" s="444"/>
    </row>
    <row r="4" spans="1:8" ht="16.5" thickBot="1">
      <c r="A4" s="443"/>
      <c r="B4" s="443"/>
      <c r="C4" s="443"/>
    </row>
    <row r="5" spans="1:8" ht="16.5" customHeight="1">
      <c r="A5" s="143"/>
      <c r="B5" s="134"/>
      <c r="C5" s="457" t="s">
        <v>62</v>
      </c>
      <c r="D5" s="446"/>
      <c r="E5" s="446"/>
      <c r="F5" s="446"/>
      <c r="G5" s="446"/>
      <c r="H5" s="159"/>
    </row>
    <row r="6" spans="1:8">
      <c r="A6" s="144" t="s">
        <v>63</v>
      </c>
      <c r="B6" s="135" t="s">
        <v>64</v>
      </c>
      <c r="C6" s="458" t="s">
        <v>65</v>
      </c>
      <c r="D6" s="449"/>
      <c r="E6" s="450" t="s">
        <v>66</v>
      </c>
      <c r="F6" s="450"/>
      <c r="G6" s="451" t="s">
        <v>6</v>
      </c>
      <c r="H6" s="480" t="s">
        <v>116</v>
      </c>
    </row>
    <row r="7" spans="1:8" ht="27" customHeight="1" thickBot="1">
      <c r="A7" s="136"/>
      <c r="B7" s="136"/>
      <c r="C7" s="151" t="s">
        <v>67</v>
      </c>
      <c r="D7" s="106" t="s">
        <v>68</v>
      </c>
      <c r="E7" s="106" t="s">
        <v>68</v>
      </c>
      <c r="F7" s="106" t="s">
        <v>69</v>
      </c>
      <c r="G7" s="479"/>
      <c r="H7" s="481"/>
    </row>
    <row r="8" spans="1:8" ht="15" customHeight="1">
      <c r="A8" s="145">
        <v>1</v>
      </c>
      <c r="B8" s="137" t="s">
        <v>70</v>
      </c>
      <c r="C8" s="128">
        <v>0</v>
      </c>
      <c r="D8" s="83">
        <v>0</v>
      </c>
      <c r="E8" s="93">
        <v>0</v>
      </c>
      <c r="F8" s="93">
        <v>96</v>
      </c>
      <c r="G8" s="81">
        <f>SUM(C8+D8+E8+F8)</f>
        <v>96</v>
      </c>
      <c r="H8" s="110">
        <f>G8/G31</f>
        <v>6.2260847006939488E-3</v>
      </c>
    </row>
    <row r="9" spans="1:8" ht="15" customHeight="1">
      <c r="A9" s="146">
        <v>2</v>
      </c>
      <c r="B9" s="138" t="s">
        <v>71</v>
      </c>
      <c r="C9" s="129">
        <v>0</v>
      </c>
      <c r="D9" s="64">
        <v>0</v>
      </c>
      <c r="E9" s="65">
        <v>0</v>
      </c>
      <c r="F9" s="65">
        <v>32</v>
      </c>
      <c r="G9" s="104">
        <f>SUM(C9+D9+E9+F9)</f>
        <v>32</v>
      </c>
      <c r="H9" s="111">
        <f>G9/G31</f>
        <v>2.0753615668979829E-3</v>
      </c>
    </row>
    <row r="10" spans="1:8" ht="15" customHeight="1">
      <c r="A10" s="146">
        <v>3</v>
      </c>
      <c r="B10" s="138" t="s">
        <v>72</v>
      </c>
      <c r="C10" s="129">
        <v>1</v>
      </c>
      <c r="D10" s="64">
        <v>0</v>
      </c>
      <c r="E10" s="65">
        <v>0</v>
      </c>
      <c r="F10" s="65">
        <v>919</v>
      </c>
      <c r="G10" s="104">
        <f t="shared" ref="G10:G30" si="0">SUM(C10+D10+E10+F10)</f>
        <v>920</v>
      </c>
      <c r="H10" s="111">
        <f>G10/G31</f>
        <v>5.9666645048317014E-2</v>
      </c>
    </row>
    <row r="11" spans="1:8" ht="15" customHeight="1">
      <c r="A11" s="146">
        <v>4</v>
      </c>
      <c r="B11" s="138" t="s">
        <v>73</v>
      </c>
      <c r="C11" s="130">
        <v>0</v>
      </c>
      <c r="D11" s="67">
        <v>0</v>
      </c>
      <c r="E11" s="68">
        <v>0</v>
      </c>
      <c r="F11" s="60">
        <v>11</v>
      </c>
      <c r="G11" s="105">
        <f t="shared" si="0"/>
        <v>11</v>
      </c>
      <c r="H11" s="111">
        <f>G11/G31</f>
        <v>7.1340553862118169E-4</v>
      </c>
    </row>
    <row r="12" spans="1:8" ht="23.25" customHeight="1">
      <c r="A12" s="146">
        <v>5</v>
      </c>
      <c r="B12" s="138" t="s">
        <v>74</v>
      </c>
      <c r="C12" s="129">
        <v>0</v>
      </c>
      <c r="D12" s="64">
        <v>0</v>
      </c>
      <c r="E12" s="65">
        <v>0</v>
      </c>
      <c r="F12" s="65">
        <v>8</v>
      </c>
      <c r="G12" s="105">
        <f t="shared" si="0"/>
        <v>8</v>
      </c>
      <c r="H12" s="111">
        <f>G12/G31</f>
        <v>5.1884039172449574E-4</v>
      </c>
    </row>
    <row r="13" spans="1:8" ht="15" customHeight="1">
      <c r="A13" s="146">
        <v>6</v>
      </c>
      <c r="B13" s="138" t="s">
        <v>75</v>
      </c>
      <c r="C13" s="130">
        <v>0</v>
      </c>
      <c r="D13" s="59">
        <v>0</v>
      </c>
      <c r="E13" s="60">
        <v>6</v>
      </c>
      <c r="F13" s="60">
        <v>893</v>
      </c>
      <c r="G13" s="105">
        <f t="shared" si="0"/>
        <v>899</v>
      </c>
      <c r="H13" s="111">
        <f>G13/G31</f>
        <v>5.8304689020040212E-2</v>
      </c>
    </row>
    <row r="14" spans="1:8" ht="25.5" customHeight="1">
      <c r="A14" s="146">
        <v>7</v>
      </c>
      <c r="B14" s="138" t="s">
        <v>76</v>
      </c>
      <c r="C14" s="130">
        <v>0</v>
      </c>
      <c r="D14" s="59">
        <v>0</v>
      </c>
      <c r="E14" s="60">
        <v>6</v>
      </c>
      <c r="F14" s="60">
        <f>2745+1</f>
        <v>2746</v>
      </c>
      <c r="G14" s="105">
        <f t="shared" si="0"/>
        <v>2752</v>
      </c>
      <c r="H14" s="111">
        <f>G14/G31</f>
        <v>0.17848109475322654</v>
      </c>
    </row>
    <row r="15" spans="1:8" ht="15" customHeight="1">
      <c r="A15" s="146">
        <v>8</v>
      </c>
      <c r="B15" s="138" t="s">
        <v>77</v>
      </c>
      <c r="C15" s="130">
        <v>0</v>
      </c>
      <c r="D15" s="59">
        <v>0</v>
      </c>
      <c r="E15" s="59">
        <v>0</v>
      </c>
      <c r="F15" s="60">
        <v>362</v>
      </c>
      <c r="G15" s="105">
        <f t="shared" si="0"/>
        <v>362</v>
      </c>
      <c r="H15" s="111">
        <f>G15/G31</f>
        <v>2.3477527725533433E-2</v>
      </c>
    </row>
    <row r="16" spans="1:8" ht="15" customHeight="1">
      <c r="A16" s="146">
        <v>9</v>
      </c>
      <c r="B16" s="138" t="s">
        <v>78</v>
      </c>
      <c r="C16" s="129">
        <v>0</v>
      </c>
      <c r="D16" s="64">
        <v>1</v>
      </c>
      <c r="E16" s="59">
        <v>234</v>
      </c>
      <c r="F16" s="65">
        <f>1184+2</f>
        <v>1186</v>
      </c>
      <c r="G16" s="105">
        <f t="shared" si="0"/>
        <v>1421</v>
      </c>
      <c r="H16" s="111">
        <f>G16/G31</f>
        <v>9.2159024580063559E-2</v>
      </c>
    </row>
    <row r="17" spans="1:8" ht="15" customHeight="1">
      <c r="A17" s="146">
        <v>10</v>
      </c>
      <c r="B17" s="138" t="s">
        <v>79</v>
      </c>
      <c r="C17" s="129">
        <v>0</v>
      </c>
      <c r="D17" s="64">
        <v>0</v>
      </c>
      <c r="E17" s="65">
        <v>0</v>
      </c>
      <c r="F17" s="65">
        <v>354</v>
      </c>
      <c r="G17" s="104">
        <f t="shared" si="0"/>
        <v>354</v>
      </c>
      <c r="H17" s="111">
        <f>G17/G31</f>
        <v>2.2958687333808937E-2</v>
      </c>
    </row>
    <row r="18" spans="1:8" ht="15" customHeight="1">
      <c r="A18" s="146">
        <v>11</v>
      </c>
      <c r="B18" s="138" t="s">
        <v>80</v>
      </c>
      <c r="C18" s="129">
        <v>0</v>
      </c>
      <c r="D18" s="64">
        <v>0</v>
      </c>
      <c r="E18" s="65">
        <v>0</v>
      </c>
      <c r="F18" s="60">
        <v>932</v>
      </c>
      <c r="G18" s="105">
        <f t="shared" si="0"/>
        <v>932</v>
      </c>
      <c r="H18" s="111">
        <f>G18/G31</f>
        <v>6.0444905635903753E-2</v>
      </c>
    </row>
    <row r="19" spans="1:8" ht="15" customHeight="1">
      <c r="A19" s="146">
        <v>12</v>
      </c>
      <c r="B19" s="138" t="s">
        <v>81</v>
      </c>
      <c r="C19" s="129">
        <v>0</v>
      </c>
      <c r="D19" s="64">
        <v>0</v>
      </c>
      <c r="E19" s="65">
        <v>1</v>
      </c>
      <c r="F19" s="65">
        <v>76</v>
      </c>
      <c r="G19" s="104">
        <f t="shared" si="0"/>
        <v>77</v>
      </c>
      <c r="H19" s="111">
        <f>G19/G31</f>
        <v>4.9938387703482717E-3</v>
      </c>
    </row>
    <row r="20" spans="1:8" ht="15" customHeight="1">
      <c r="A20" s="146">
        <v>13</v>
      </c>
      <c r="B20" s="138" t="s">
        <v>82</v>
      </c>
      <c r="C20" s="129">
        <v>0</v>
      </c>
      <c r="D20" s="64">
        <v>0</v>
      </c>
      <c r="E20" s="65">
        <v>0</v>
      </c>
      <c r="F20" s="65">
        <v>735</v>
      </c>
      <c r="G20" s="104">
        <f t="shared" si="0"/>
        <v>735</v>
      </c>
      <c r="H20" s="111">
        <f>G20/G31</f>
        <v>4.766846098968805E-2</v>
      </c>
    </row>
    <row r="21" spans="1:8" ht="15" customHeight="1">
      <c r="A21" s="146">
        <v>14</v>
      </c>
      <c r="B21" s="138" t="s">
        <v>83</v>
      </c>
      <c r="C21" s="129">
        <v>0</v>
      </c>
      <c r="D21" s="64">
        <v>0</v>
      </c>
      <c r="E21" s="65">
        <v>5</v>
      </c>
      <c r="F21" s="65">
        <f>309+1</f>
        <v>310</v>
      </c>
      <c r="G21" s="104">
        <f t="shared" si="0"/>
        <v>315</v>
      </c>
      <c r="H21" s="111">
        <f>G21/G31</f>
        <v>2.042934042415202E-2</v>
      </c>
    </row>
    <row r="22" spans="1:8" ht="15" customHeight="1">
      <c r="A22" s="147">
        <v>15</v>
      </c>
      <c r="B22" s="138" t="s">
        <v>84</v>
      </c>
      <c r="C22" s="129">
        <v>0</v>
      </c>
      <c r="D22" s="64">
        <v>0</v>
      </c>
      <c r="E22" s="65">
        <v>0</v>
      </c>
      <c r="F22" s="65">
        <v>1639</v>
      </c>
      <c r="G22" s="104">
        <f t="shared" si="0"/>
        <v>1639</v>
      </c>
      <c r="H22" s="111">
        <f>G22/G31</f>
        <v>0.10629742525455607</v>
      </c>
    </row>
    <row r="23" spans="1:8" ht="15" customHeight="1">
      <c r="A23" s="146">
        <v>16</v>
      </c>
      <c r="B23" s="138" t="s">
        <v>85</v>
      </c>
      <c r="C23" s="129">
        <v>0</v>
      </c>
      <c r="D23" s="64">
        <v>0</v>
      </c>
      <c r="E23" s="65">
        <v>0</v>
      </c>
      <c r="F23" s="65">
        <f>2423+1</f>
        <v>2424</v>
      </c>
      <c r="G23" s="105">
        <f t="shared" si="0"/>
        <v>2424</v>
      </c>
      <c r="H23" s="111">
        <f>G23/G31</f>
        <v>0.15720863869252222</v>
      </c>
    </row>
    <row r="24" spans="1:8" ht="23.25" customHeight="1">
      <c r="A24" s="147">
        <v>17</v>
      </c>
      <c r="B24" s="138" t="s">
        <v>86</v>
      </c>
      <c r="C24" s="129">
        <v>0</v>
      </c>
      <c r="D24" s="64">
        <v>0</v>
      </c>
      <c r="E24" s="65">
        <v>0</v>
      </c>
      <c r="F24" s="65">
        <v>271</v>
      </c>
      <c r="G24" s="104">
        <f t="shared" si="0"/>
        <v>271</v>
      </c>
      <c r="H24" s="111">
        <f>G24/G31</f>
        <v>1.7575718269667293E-2</v>
      </c>
    </row>
    <row r="25" spans="1:8" ht="15" customHeight="1">
      <c r="A25" s="146">
        <v>18</v>
      </c>
      <c r="B25" s="139" t="s">
        <v>87</v>
      </c>
      <c r="C25" s="129">
        <v>0</v>
      </c>
      <c r="D25" s="64">
        <v>0</v>
      </c>
      <c r="E25" s="65">
        <v>2</v>
      </c>
      <c r="F25" s="65">
        <v>243</v>
      </c>
      <c r="G25" s="104">
        <f t="shared" si="0"/>
        <v>245</v>
      </c>
      <c r="H25" s="111">
        <f>G25/G31</f>
        <v>1.5889486996562681E-2</v>
      </c>
    </row>
    <row r="26" spans="1:8" ht="15" customHeight="1">
      <c r="A26" s="146">
        <v>19</v>
      </c>
      <c r="B26" s="139" t="s">
        <v>88</v>
      </c>
      <c r="C26" s="129">
        <v>0</v>
      </c>
      <c r="D26" s="64">
        <v>0</v>
      </c>
      <c r="E26" s="65">
        <v>1</v>
      </c>
      <c r="F26" s="65">
        <v>404</v>
      </c>
      <c r="G26" s="104">
        <f t="shared" si="0"/>
        <v>405</v>
      </c>
      <c r="H26" s="111">
        <f>G26/G31</f>
        <v>2.6266294831052597E-2</v>
      </c>
    </row>
    <row r="27" spans="1:8" ht="35.25" customHeight="1">
      <c r="A27" s="147">
        <v>20</v>
      </c>
      <c r="B27" s="139" t="s">
        <v>89</v>
      </c>
      <c r="C27" s="129">
        <v>0</v>
      </c>
      <c r="D27" s="64">
        <v>0</v>
      </c>
      <c r="E27" s="65">
        <v>0</v>
      </c>
      <c r="F27" s="65">
        <v>27</v>
      </c>
      <c r="G27" s="107">
        <f t="shared" si="0"/>
        <v>27</v>
      </c>
      <c r="H27" s="111">
        <f>G27/G31</f>
        <v>1.7510863220701733E-3</v>
      </c>
    </row>
    <row r="28" spans="1:8" ht="15" customHeight="1">
      <c r="A28" s="146">
        <v>21</v>
      </c>
      <c r="B28" s="139" t="s">
        <v>90</v>
      </c>
      <c r="C28" s="129">
        <v>0</v>
      </c>
      <c r="D28" s="64">
        <v>0</v>
      </c>
      <c r="E28" s="65">
        <v>0</v>
      </c>
      <c r="F28" s="65">
        <v>16</v>
      </c>
      <c r="G28" s="104">
        <f t="shared" si="0"/>
        <v>16</v>
      </c>
      <c r="H28" s="111">
        <f>G28/G31</f>
        <v>1.0376807834489915E-3</v>
      </c>
    </row>
    <row r="29" spans="1:8" ht="15" customHeight="1">
      <c r="A29" s="146">
        <v>22</v>
      </c>
      <c r="B29" s="140" t="s">
        <v>91</v>
      </c>
      <c r="C29" s="129">
        <v>0</v>
      </c>
      <c r="D29" s="64">
        <v>0</v>
      </c>
      <c r="E29" s="65">
        <v>2</v>
      </c>
      <c r="F29" s="65">
        <f>1449+22</f>
        <v>1471</v>
      </c>
      <c r="G29" s="104">
        <f t="shared" si="0"/>
        <v>1473</v>
      </c>
      <c r="H29" s="111">
        <f>G29/G31</f>
        <v>9.5531487126272782E-2</v>
      </c>
    </row>
    <row r="30" spans="1:8" ht="15" customHeight="1" thickBot="1">
      <c r="A30" s="146">
        <v>23</v>
      </c>
      <c r="B30" s="141" t="s">
        <v>92</v>
      </c>
      <c r="C30" s="131">
        <v>0</v>
      </c>
      <c r="D30" s="69">
        <v>0</v>
      </c>
      <c r="E30" s="70">
        <v>0</v>
      </c>
      <c r="F30" s="70">
        <v>5</v>
      </c>
      <c r="G30" s="107">
        <f t="shared" si="0"/>
        <v>5</v>
      </c>
      <c r="H30" s="112">
        <f>G30/G31</f>
        <v>3.2427524482780983E-4</v>
      </c>
    </row>
    <row r="31" spans="1:8" ht="15" customHeight="1" thickBot="1">
      <c r="A31" s="148"/>
      <c r="B31" s="133" t="s">
        <v>6</v>
      </c>
      <c r="C31" s="132">
        <f>SUM(C8:C30)</f>
        <v>1</v>
      </c>
      <c r="D31" s="71">
        <f t="shared" ref="D31:H31" si="1">SUM(D8:D30)</f>
        <v>1</v>
      </c>
      <c r="E31" s="71">
        <f t="shared" si="1"/>
        <v>257</v>
      </c>
      <c r="F31" s="71">
        <f t="shared" si="1"/>
        <v>15160</v>
      </c>
      <c r="G31" s="72">
        <f t="shared" si="1"/>
        <v>15419</v>
      </c>
      <c r="H31" s="157">
        <f t="shared" si="1"/>
        <v>1.0000000000000002</v>
      </c>
    </row>
    <row r="32" spans="1:8">
      <c r="A32" s="75"/>
      <c r="B32" s="76"/>
      <c r="C32" s="77"/>
      <c r="D32" s="77"/>
      <c r="E32" s="77"/>
      <c r="F32" s="77"/>
      <c r="G32" s="77"/>
    </row>
    <row r="33" spans="1:6">
      <c r="A33" s="318" t="s">
        <v>148</v>
      </c>
      <c r="B33" s="40"/>
      <c r="F33" s="88" t="s">
        <v>12</v>
      </c>
    </row>
    <row r="34" spans="1:6">
      <c r="A34" s="472">
        <v>42661</v>
      </c>
      <c r="B34" s="472"/>
      <c r="F34" s="88" t="s">
        <v>93</v>
      </c>
    </row>
  </sheetData>
  <mergeCells count="8">
    <mergeCell ref="H6:H7"/>
    <mergeCell ref="A34:B34"/>
    <mergeCell ref="A3:G3"/>
    <mergeCell ref="A4:C4"/>
    <mergeCell ref="C5:G5"/>
    <mergeCell ref="C6:D6"/>
    <mergeCell ref="E6:F6"/>
    <mergeCell ref="G6:G7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38" sqref="B38"/>
    </sheetView>
  </sheetViews>
  <sheetFormatPr defaultRowHeight="12.75"/>
  <cols>
    <col min="1" max="1" width="5.42578125" customWidth="1"/>
    <col min="2" max="2" width="60.85546875" customWidth="1"/>
    <col min="3" max="7" width="12.7109375" customWidth="1"/>
    <col min="8" max="8" width="12.85546875" customWidth="1"/>
  </cols>
  <sheetData>
    <row r="1" spans="1:8">
      <c r="A1" s="123" t="s">
        <v>113</v>
      </c>
      <c r="B1" s="25"/>
    </row>
    <row r="2" spans="1:8" ht="26.25" customHeight="1">
      <c r="A2" s="482" t="s">
        <v>143</v>
      </c>
      <c r="B2" s="482"/>
      <c r="C2" s="482"/>
      <c r="D2" s="482"/>
      <c r="E2" s="482"/>
      <c r="F2" s="482"/>
      <c r="G2" s="482"/>
    </row>
    <row r="3" spans="1:8" ht="11.25" customHeight="1" thickBot="1">
      <c r="A3" s="443"/>
      <c r="B3" s="443"/>
      <c r="C3" s="443"/>
    </row>
    <row r="4" spans="1:8" ht="14.25" customHeight="1">
      <c r="A4" s="143"/>
      <c r="B4" s="134"/>
      <c r="C4" s="457" t="s">
        <v>62</v>
      </c>
      <c r="D4" s="446"/>
      <c r="E4" s="446"/>
      <c r="F4" s="446"/>
      <c r="G4" s="446"/>
      <c r="H4" s="447"/>
    </row>
    <row r="5" spans="1:8" ht="13.5" customHeight="1">
      <c r="A5" s="144" t="s">
        <v>63</v>
      </c>
      <c r="B5" s="135" t="s">
        <v>64</v>
      </c>
      <c r="C5" s="458" t="s">
        <v>65</v>
      </c>
      <c r="D5" s="449"/>
      <c r="E5" s="450" t="s">
        <v>66</v>
      </c>
      <c r="F5" s="450"/>
      <c r="G5" s="451" t="s">
        <v>6</v>
      </c>
      <c r="H5" s="480" t="s">
        <v>116</v>
      </c>
    </row>
    <row r="6" spans="1:8" ht="24" customHeight="1" thickBot="1">
      <c r="A6" s="136"/>
      <c r="B6" s="136"/>
      <c r="C6" s="151" t="s">
        <v>67</v>
      </c>
      <c r="D6" s="106" t="s">
        <v>68</v>
      </c>
      <c r="E6" s="106" t="s">
        <v>68</v>
      </c>
      <c r="F6" s="106" t="s">
        <v>69</v>
      </c>
      <c r="G6" s="479"/>
      <c r="H6" s="481"/>
    </row>
    <row r="7" spans="1:8" ht="14.25" customHeight="1">
      <c r="A7" s="145">
        <v>1</v>
      </c>
      <c r="B7" s="137" t="s">
        <v>70</v>
      </c>
      <c r="C7" s="128">
        <v>0</v>
      </c>
      <c r="D7" s="83">
        <v>0</v>
      </c>
      <c r="E7" s="93">
        <v>0</v>
      </c>
      <c r="F7" s="93">
        <v>103</v>
      </c>
      <c r="G7" s="81">
        <f>SUM(C7+D7+E7+F7)</f>
        <v>103</v>
      </c>
      <c r="H7" s="110">
        <f>G7/G30</f>
        <v>7.4800290486564999E-3</v>
      </c>
    </row>
    <row r="8" spans="1:8" ht="14.25" customHeight="1">
      <c r="A8" s="146">
        <v>2</v>
      </c>
      <c r="B8" s="138" t="s">
        <v>71</v>
      </c>
      <c r="C8" s="129">
        <v>0</v>
      </c>
      <c r="D8" s="64">
        <v>0</v>
      </c>
      <c r="E8" s="65">
        <v>0</v>
      </c>
      <c r="F8" s="65">
        <v>32</v>
      </c>
      <c r="G8" s="104">
        <f>SUM(C8+D8+E8+F8)</f>
        <v>32</v>
      </c>
      <c r="H8" s="111">
        <f>G8/G30</f>
        <v>2.3238925199709514E-3</v>
      </c>
    </row>
    <row r="9" spans="1:8" ht="12.75" customHeight="1">
      <c r="A9" s="146">
        <v>3</v>
      </c>
      <c r="B9" s="138" t="s">
        <v>72</v>
      </c>
      <c r="C9" s="129">
        <v>2</v>
      </c>
      <c r="D9" s="64">
        <v>0</v>
      </c>
      <c r="E9" s="65">
        <v>0</v>
      </c>
      <c r="F9" s="65">
        <f>938+1</f>
        <v>939</v>
      </c>
      <c r="G9" s="104">
        <f>SUM(C9+D9+E9+F9)</f>
        <v>941</v>
      </c>
      <c r="H9" s="111">
        <f>G9/G30</f>
        <v>6.8336964415395787E-2</v>
      </c>
    </row>
    <row r="10" spans="1:8" ht="15" customHeight="1">
      <c r="A10" s="146">
        <v>4</v>
      </c>
      <c r="B10" s="138" t="s">
        <v>73</v>
      </c>
      <c r="C10" s="130">
        <v>0</v>
      </c>
      <c r="D10" s="67">
        <v>0</v>
      </c>
      <c r="E10" s="68">
        <v>0</v>
      </c>
      <c r="F10" s="60">
        <v>10</v>
      </c>
      <c r="G10" s="105">
        <f t="shared" ref="G10:G29" si="0">SUM(C10+D10+E10+F10)</f>
        <v>10</v>
      </c>
      <c r="H10" s="111">
        <f>G10/G30</f>
        <v>7.2621641249092229E-4</v>
      </c>
    </row>
    <row r="11" spans="1:8" ht="24" customHeight="1">
      <c r="A11" s="146">
        <v>5</v>
      </c>
      <c r="B11" s="138" t="s">
        <v>74</v>
      </c>
      <c r="C11" s="129">
        <v>0</v>
      </c>
      <c r="D11" s="64">
        <v>0</v>
      </c>
      <c r="E11" s="65">
        <v>0</v>
      </c>
      <c r="F11" s="65">
        <v>7</v>
      </c>
      <c r="G11" s="105">
        <f t="shared" si="0"/>
        <v>7</v>
      </c>
      <c r="H11" s="111">
        <f>G11/G30</f>
        <v>5.0835148874364558E-4</v>
      </c>
    </row>
    <row r="12" spans="1:8" ht="12.75" customHeight="1">
      <c r="A12" s="146">
        <v>6</v>
      </c>
      <c r="B12" s="138" t="s">
        <v>75</v>
      </c>
      <c r="C12" s="130">
        <v>0</v>
      </c>
      <c r="D12" s="59">
        <v>0</v>
      </c>
      <c r="E12" s="60">
        <v>6</v>
      </c>
      <c r="F12" s="60">
        <f>866+1</f>
        <v>867</v>
      </c>
      <c r="G12" s="105">
        <f t="shared" si="0"/>
        <v>873</v>
      </c>
      <c r="H12" s="111">
        <f>G12/G30</f>
        <v>6.3398692810457513E-2</v>
      </c>
    </row>
    <row r="13" spans="1:8" ht="24" customHeight="1">
      <c r="A13" s="146">
        <v>7</v>
      </c>
      <c r="B13" s="138" t="s">
        <v>76</v>
      </c>
      <c r="C13" s="130">
        <v>0</v>
      </c>
      <c r="D13" s="59">
        <v>0</v>
      </c>
      <c r="E13" s="60">
        <v>6</v>
      </c>
      <c r="F13" s="60">
        <f>2767+3</f>
        <v>2770</v>
      </c>
      <c r="G13" s="105">
        <f t="shared" si="0"/>
        <v>2776</v>
      </c>
      <c r="H13" s="111">
        <f>G13/G30</f>
        <v>0.20159767610748003</v>
      </c>
    </row>
    <row r="14" spans="1:8" ht="14.25" customHeight="1">
      <c r="A14" s="146">
        <v>8</v>
      </c>
      <c r="B14" s="138" t="s">
        <v>77</v>
      </c>
      <c r="C14" s="130">
        <v>0</v>
      </c>
      <c r="D14" s="59">
        <v>0</v>
      </c>
      <c r="E14" s="59">
        <v>0</v>
      </c>
      <c r="F14" s="60">
        <v>360</v>
      </c>
      <c r="G14" s="105">
        <f t="shared" si="0"/>
        <v>360</v>
      </c>
      <c r="H14" s="111">
        <f>G14/G30</f>
        <v>2.6143790849673203E-2</v>
      </c>
    </row>
    <row r="15" spans="1:8" ht="24" customHeight="1">
      <c r="A15" s="146">
        <v>9</v>
      </c>
      <c r="B15" s="138" t="s">
        <v>78</v>
      </c>
      <c r="C15" s="129">
        <v>0</v>
      </c>
      <c r="D15" s="64">
        <v>1</v>
      </c>
      <c r="E15" s="59">
        <v>208</v>
      </c>
      <c r="F15" s="65">
        <f>1233+1</f>
        <v>1234</v>
      </c>
      <c r="G15" s="105">
        <f t="shared" si="0"/>
        <v>1443</v>
      </c>
      <c r="H15" s="111">
        <f>G15/G30</f>
        <v>0.10479302832244008</v>
      </c>
    </row>
    <row r="16" spans="1:8" ht="15" customHeight="1">
      <c r="A16" s="146">
        <v>10</v>
      </c>
      <c r="B16" s="138" t="s">
        <v>79</v>
      </c>
      <c r="C16" s="129">
        <v>0</v>
      </c>
      <c r="D16" s="64">
        <v>0</v>
      </c>
      <c r="E16" s="65">
        <v>0</v>
      </c>
      <c r="F16" s="65">
        <v>304</v>
      </c>
      <c r="G16" s="104">
        <f t="shared" si="0"/>
        <v>304</v>
      </c>
      <c r="H16" s="111">
        <f>G16/G30</f>
        <v>2.2076978939724039E-2</v>
      </c>
    </row>
    <row r="17" spans="1:8" ht="15" customHeight="1">
      <c r="A17" s="146">
        <v>11</v>
      </c>
      <c r="B17" s="138" t="s">
        <v>80</v>
      </c>
      <c r="C17" s="129">
        <v>0</v>
      </c>
      <c r="D17" s="64">
        <v>0</v>
      </c>
      <c r="E17" s="65">
        <v>0</v>
      </c>
      <c r="F17" s="60">
        <v>943</v>
      </c>
      <c r="G17" s="105">
        <f t="shared" si="0"/>
        <v>943</v>
      </c>
      <c r="H17" s="111">
        <f>G17/G30</f>
        <v>6.8482207697893968E-2</v>
      </c>
    </row>
    <row r="18" spans="1:8" ht="15" customHeight="1">
      <c r="A18" s="146">
        <v>12</v>
      </c>
      <c r="B18" s="138" t="s">
        <v>81</v>
      </c>
      <c r="C18" s="129">
        <v>0</v>
      </c>
      <c r="D18" s="64">
        <v>0</v>
      </c>
      <c r="E18" s="65">
        <v>1</v>
      </c>
      <c r="F18" s="65">
        <v>83</v>
      </c>
      <c r="G18" s="104">
        <f t="shared" si="0"/>
        <v>84</v>
      </c>
      <c r="H18" s="111">
        <f>G18/G30</f>
        <v>6.100217864923747E-3</v>
      </c>
    </row>
    <row r="19" spans="1:8" ht="15" customHeight="1">
      <c r="A19" s="146">
        <v>13</v>
      </c>
      <c r="B19" s="138" t="s">
        <v>82</v>
      </c>
      <c r="C19" s="129">
        <v>0</v>
      </c>
      <c r="D19" s="64">
        <v>0</v>
      </c>
      <c r="E19" s="65">
        <v>0</v>
      </c>
      <c r="F19" s="65">
        <v>756</v>
      </c>
      <c r="G19" s="104">
        <f t="shared" si="0"/>
        <v>756</v>
      </c>
      <c r="H19" s="111">
        <f>G19/G30</f>
        <v>5.4901960784313725E-2</v>
      </c>
    </row>
    <row r="20" spans="1:8" ht="14.25" customHeight="1">
      <c r="A20" s="146">
        <v>14</v>
      </c>
      <c r="B20" s="138" t="s">
        <v>83</v>
      </c>
      <c r="C20" s="129">
        <v>0</v>
      </c>
      <c r="D20" s="64">
        <v>0</v>
      </c>
      <c r="E20" s="65">
        <v>4</v>
      </c>
      <c r="F20" s="65">
        <f>302+1</f>
        <v>303</v>
      </c>
      <c r="G20" s="104">
        <f t="shared" si="0"/>
        <v>307</v>
      </c>
      <c r="H20" s="111">
        <f>G20/G30</f>
        <v>2.2294843863471313E-2</v>
      </c>
    </row>
    <row r="21" spans="1:8" ht="13.5" customHeight="1">
      <c r="A21" s="147">
        <v>15</v>
      </c>
      <c r="B21" s="138" t="s">
        <v>84</v>
      </c>
      <c r="C21" s="129">
        <v>0</v>
      </c>
      <c r="D21" s="64">
        <v>0</v>
      </c>
      <c r="E21" s="65">
        <v>0</v>
      </c>
      <c r="F21" s="65">
        <v>1240</v>
      </c>
      <c r="G21" s="104">
        <f t="shared" si="0"/>
        <v>1240</v>
      </c>
      <c r="H21" s="111">
        <f>G21/G30</f>
        <v>9.0050835148874367E-2</v>
      </c>
    </row>
    <row r="22" spans="1:8" ht="15" customHeight="1">
      <c r="A22" s="146">
        <v>16</v>
      </c>
      <c r="B22" s="138" t="s">
        <v>85</v>
      </c>
      <c r="C22" s="129">
        <v>0</v>
      </c>
      <c r="D22" s="64">
        <v>0</v>
      </c>
      <c r="E22" s="65">
        <v>0</v>
      </c>
      <c r="F22" s="65">
        <f>1321+1</f>
        <v>1322</v>
      </c>
      <c r="G22" s="105">
        <f t="shared" si="0"/>
        <v>1322</v>
      </c>
      <c r="H22" s="111">
        <f>G22/G30</f>
        <v>9.6005809731299921E-2</v>
      </c>
    </row>
    <row r="23" spans="1:8" ht="24" customHeight="1">
      <c r="A23" s="147">
        <v>17</v>
      </c>
      <c r="B23" s="138" t="s">
        <v>86</v>
      </c>
      <c r="C23" s="129">
        <v>0</v>
      </c>
      <c r="D23" s="64">
        <v>0</v>
      </c>
      <c r="E23" s="65">
        <v>0</v>
      </c>
      <c r="F23" s="65">
        <f>261+1</f>
        <v>262</v>
      </c>
      <c r="G23" s="104">
        <f t="shared" si="0"/>
        <v>262</v>
      </c>
      <c r="H23" s="111">
        <f>G23/G30</f>
        <v>1.9026870007262164E-2</v>
      </c>
    </row>
    <row r="24" spans="1:8" ht="17.25" customHeight="1">
      <c r="A24" s="146">
        <v>18</v>
      </c>
      <c r="B24" s="139" t="s">
        <v>87</v>
      </c>
      <c r="C24" s="129">
        <v>0</v>
      </c>
      <c r="D24" s="64">
        <v>0</v>
      </c>
      <c r="E24" s="65">
        <v>2</v>
      </c>
      <c r="F24" s="65">
        <v>200</v>
      </c>
      <c r="G24" s="104">
        <f t="shared" si="0"/>
        <v>202</v>
      </c>
      <c r="H24" s="111">
        <f>G24/G30</f>
        <v>1.4669571532316631E-2</v>
      </c>
    </row>
    <row r="25" spans="1:8" ht="15.75" customHeight="1">
      <c r="A25" s="146">
        <v>19</v>
      </c>
      <c r="B25" s="139" t="s">
        <v>88</v>
      </c>
      <c r="C25" s="129">
        <v>0</v>
      </c>
      <c r="D25" s="64">
        <v>0</v>
      </c>
      <c r="E25" s="65">
        <v>1</v>
      </c>
      <c r="F25" s="65">
        <v>332</v>
      </c>
      <c r="G25" s="104">
        <f t="shared" si="0"/>
        <v>333</v>
      </c>
      <c r="H25" s="111">
        <f>G25/G30</f>
        <v>2.4183006535947713E-2</v>
      </c>
    </row>
    <row r="26" spans="1:8" ht="24" customHeight="1">
      <c r="A26" s="147">
        <v>20</v>
      </c>
      <c r="B26" s="139" t="s">
        <v>89</v>
      </c>
      <c r="C26" s="129">
        <v>0</v>
      </c>
      <c r="D26" s="64">
        <v>0</v>
      </c>
      <c r="E26" s="65">
        <v>0</v>
      </c>
      <c r="F26" s="65">
        <v>29</v>
      </c>
      <c r="G26" s="107">
        <f t="shared" si="0"/>
        <v>29</v>
      </c>
      <c r="H26" s="111">
        <f>G26/G30</f>
        <v>2.1060275962236745E-3</v>
      </c>
    </row>
    <row r="27" spans="1:8" ht="16.5" customHeight="1">
      <c r="A27" s="146">
        <v>21</v>
      </c>
      <c r="B27" s="139" t="s">
        <v>90</v>
      </c>
      <c r="C27" s="129">
        <v>0</v>
      </c>
      <c r="D27" s="64">
        <v>0</v>
      </c>
      <c r="E27" s="65">
        <v>0</v>
      </c>
      <c r="F27" s="65">
        <v>18</v>
      </c>
      <c r="G27" s="104">
        <f t="shared" si="0"/>
        <v>18</v>
      </c>
      <c r="H27" s="111">
        <f>G27/G30</f>
        <v>1.30718954248366E-3</v>
      </c>
    </row>
    <row r="28" spans="1:8" ht="14.25" customHeight="1">
      <c r="A28" s="146">
        <v>22</v>
      </c>
      <c r="B28" s="140" t="s">
        <v>91</v>
      </c>
      <c r="C28" s="129">
        <v>0</v>
      </c>
      <c r="D28" s="64">
        <v>0</v>
      </c>
      <c r="E28" s="65">
        <v>2</v>
      </c>
      <c r="F28" s="65">
        <f>1395+23</f>
        <v>1418</v>
      </c>
      <c r="G28" s="104">
        <f t="shared" si="0"/>
        <v>1420</v>
      </c>
      <c r="H28" s="111">
        <f>G28/G30</f>
        <v>0.10312273057371096</v>
      </c>
    </row>
    <row r="29" spans="1:8" ht="15" customHeight="1" thickBot="1">
      <c r="A29" s="146">
        <v>23</v>
      </c>
      <c r="B29" s="141" t="s">
        <v>92</v>
      </c>
      <c r="C29" s="131">
        <v>0</v>
      </c>
      <c r="D29" s="69">
        <v>0</v>
      </c>
      <c r="E29" s="70">
        <v>0</v>
      </c>
      <c r="F29" s="70">
        <v>5</v>
      </c>
      <c r="G29" s="107">
        <f t="shared" si="0"/>
        <v>5</v>
      </c>
      <c r="H29" s="158">
        <f>G29/G30</f>
        <v>3.6310820624546115E-4</v>
      </c>
    </row>
    <row r="30" spans="1:8" ht="24" customHeight="1" thickBot="1">
      <c r="A30" s="148"/>
      <c r="B30" s="133" t="s">
        <v>6</v>
      </c>
      <c r="C30" s="132">
        <f t="shared" ref="C30:H30" si="1">SUM(C7:C29)</f>
        <v>2</v>
      </c>
      <c r="D30" s="71">
        <f t="shared" si="1"/>
        <v>1</v>
      </c>
      <c r="E30" s="71">
        <f t="shared" si="1"/>
        <v>230</v>
      </c>
      <c r="F30" s="71">
        <f t="shared" si="1"/>
        <v>13537</v>
      </c>
      <c r="G30" s="72">
        <f t="shared" si="1"/>
        <v>13770</v>
      </c>
      <c r="H30" s="160">
        <f t="shared" si="1"/>
        <v>1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318" t="s">
        <v>148</v>
      </c>
      <c r="B32" s="40"/>
      <c r="F32" s="88" t="s">
        <v>12</v>
      </c>
    </row>
    <row r="33" spans="1:6">
      <c r="A33" s="472">
        <v>42696</v>
      </c>
      <c r="B33" s="472"/>
      <c r="F33" s="88" t="s">
        <v>93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36" sqref="B36"/>
    </sheetView>
  </sheetViews>
  <sheetFormatPr defaultRowHeight="12.75"/>
  <cols>
    <col min="1" max="1" width="5.42578125" customWidth="1"/>
    <col min="2" max="2" width="53.28515625" customWidth="1"/>
    <col min="3" max="7" width="12.7109375" customWidth="1"/>
    <col min="8" max="8" width="11.140625" customWidth="1"/>
  </cols>
  <sheetData>
    <row r="1" spans="1:8">
      <c r="A1" s="123" t="s">
        <v>114</v>
      </c>
      <c r="B1" s="25"/>
    </row>
    <row r="2" spans="1:8" ht="30.75" customHeight="1">
      <c r="A2" s="482" t="s">
        <v>144</v>
      </c>
      <c r="B2" s="482"/>
      <c r="C2" s="482"/>
      <c r="D2" s="482"/>
      <c r="E2" s="482"/>
      <c r="F2" s="482"/>
      <c r="G2" s="482"/>
    </row>
    <row r="3" spans="1:8" ht="11.25" customHeight="1" thickBot="1">
      <c r="A3" s="443"/>
      <c r="B3" s="443"/>
      <c r="C3" s="443"/>
    </row>
    <row r="4" spans="1:8" ht="14.25" customHeight="1">
      <c r="A4" s="143"/>
      <c r="B4" s="134"/>
      <c r="C4" s="457" t="s">
        <v>62</v>
      </c>
      <c r="D4" s="446"/>
      <c r="E4" s="446"/>
      <c r="F4" s="446"/>
      <c r="G4" s="446"/>
      <c r="H4" s="447"/>
    </row>
    <row r="5" spans="1:8" ht="13.5" customHeight="1">
      <c r="A5" s="144" t="s">
        <v>63</v>
      </c>
      <c r="B5" s="135" t="s">
        <v>64</v>
      </c>
      <c r="C5" s="458" t="s">
        <v>65</v>
      </c>
      <c r="D5" s="449"/>
      <c r="E5" s="450" t="s">
        <v>66</v>
      </c>
      <c r="F5" s="450"/>
      <c r="G5" s="451" t="s">
        <v>6</v>
      </c>
      <c r="H5" s="480" t="s">
        <v>116</v>
      </c>
    </row>
    <row r="6" spans="1:8" ht="24" customHeight="1" thickBot="1">
      <c r="A6" s="136"/>
      <c r="B6" s="136"/>
      <c r="C6" s="151" t="s">
        <v>67</v>
      </c>
      <c r="D6" s="106" t="s">
        <v>68</v>
      </c>
      <c r="E6" s="106" t="s">
        <v>68</v>
      </c>
      <c r="F6" s="106" t="s">
        <v>69</v>
      </c>
      <c r="G6" s="479"/>
      <c r="H6" s="481"/>
    </row>
    <row r="7" spans="1:8" ht="14.25" customHeight="1">
      <c r="A7" s="145">
        <v>1</v>
      </c>
      <c r="B7" s="137" t="s">
        <v>70</v>
      </c>
      <c r="C7" s="128">
        <v>0</v>
      </c>
      <c r="D7" s="83">
        <v>0</v>
      </c>
      <c r="E7" s="93">
        <v>0</v>
      </c>
      <c r="F7" s="93">
        <v>105</v>
      </c>
      <c r="G7" s="83">
        <f>SUM(C7+D7+E7+F7)</f>
        <v>105</v>
      </c>
      <c r="H7" s="150">
        <f>G7/G30</f>
        <v>8.5082246171298923E-3</v>
      </c>
    </row>
    <row r="8" spans="1:8" ht="14.25" customHeight="1">
      <c r="A8" s="146">
        <v>2</v>
      </c>
      <c r="B8" s="138" t="s">
        <v>71</v>
      </c>
      <c r="C8" s="129">
        <v>0</v>
      </c>
      <c r="D8" s="64">
        <v>0</v>
      </c>
      <c r="E8" s="65">
        <v>0</v>
      </c>
      <c r="F8" s="65">
        <v>30</v>
      </c>
      <c r="G8" s="64">
        <f>SUM(C8+D8+E8+F8)</f>
        <v>30</v>
      </c>
      <c r="H8" s="111">
        <f>G8/G30</f>
        <v>2.4309213191799693E-3</v>
      </c>
    </row>
    <row r="9" spans="1:8" ht="12.75" customHeight="1">
      <c r="A9" s="146">
        <v>3</v>
      </c>
      <c r="B9" s="138" t="s">
        <v>72</v>
      </c>
      <c r="C9" s="129">
        <v>2</v>
      </c>
      <c r="D9" s="64">
        <v>0</v>
      </c>
      <c r="E9" s="65">
        <v>0</v>
      </c>
      <c r="F9" s="65">
        <v>987</v>
      </c>
      <c r="G9" s="64">
        <f t="shared" ref="G9:G29" si="0">SUM(C9+D9+E9+F9)</f>
        <v>989</v>
      </c>
      <c r="H9" s="111">
        <f>G9/G30</f>
        <v>8.0139372822299645E-2</v>
      </c>
    </row>
    <row r="10" spans="1:8" ht="15" customHeight="1">
      <c r="A10" s="146">
        <v>4</v>
      </c>
      <c r="B10" s="138" t="s">
        <v>73</v>
      </c>
      <c r="C10" s="130">
        <v>0</v>
      </c>
      <c r="D10" s="67">
        <v>0</v>
      </c>
      <c r="E10" s="68">
        <v>0</v>
      </c>
      <c r="F10" s="60">
        <v>8</v>
      </c>
      <c r="G10" s="59">
        <f t="shared" si="0"/>
        <v>8</v>
      </c>
      <c r="H10" s="111">
        <f>G10/G30</f>
        <v>6.4824568511465846E-4</v>
      </c>
    </row>
    <row r="11" spans="1:8" ht="24" customHeight="1">
      <c r="A11" s="146">
        <v>5</v>
      </c>
      <c r="B11" s="138" t="s">
        <v>74</v>
      </c>
      <c r="C11" s="129">
        <v>0</v>
      </c>
      <c r="D11" s="64">
        <v>0</v>
      </c>
      <c r="E11" s="65">
        <v>0</v>
      </c>
      <c r="F11" s="65">
        <v>6</v>
      </c>
      <c r="G11" s="59">
        <f t="shared" si="0"/>
        <v>6</v>
      </c>
      <c r="H11" s="111">
        <f>G11/G30</f>
        <v>4.8618426383599382E-4</v>
      </c>
    </row>
    <row r="12" spans="1:8" ht="12.75" customHeight="1">
      <c r="A12" s="146">
        <v>6</v>
      </c>
      <c r="B12" s="138" t="s">
        <v>75</v>
      </c>
      <c r="C12" s="130">
        <v>0</v>
      </c>
      <c r="D12" s="59">
        <v>0</v>
      </c>
      <c r="E12" s="60">
        <v>6</v>
      </c>
      <c r="F12" s="60">
        <v>819</v>
      </c>
      <c r="G12" s="59">
        <f t="shared" si="0"/>
        <v>825</v>
      </c>
      <c r="H12" s="111">
        <f>G12/G30</f>
        <v>6.6850336277449157E-2</v>
      </c>
    </row>
    <row r="13" spans="1:8" ht="24" customHeight="1">
      <c r="A13" s="146">
        <v>7</v>
      </c>
      <c r="B13" s="138" t="s">
        <v>76</v>
      </c>
      <c r="C13" s="130">
        <v>0</v>
      </c>
      <c r="D13" s="59">
        <v>0</v>
      </c>
      <c r="E13" s="60">
        <v>5</v>
      </c>
      <c r="F13" s="60">
        <f>2820+4</f>
        <v>2824</v>
      </c>
      <c r="G13" s="59">
        <f t="shared" si="0"/>
        <v>2829</v>
      </c>
      <c r="H13" s="111">
        <f>G13/G30</f>
        <v>0.2292358803986711</v>
      </c>
    </row>
    <row r="14" spans="1:8" ht="14.25" customHeight="1">
      <c r="A14" s="146">
        <v>8</v>
      </c>
      <c r="B14" s="138" t="s">
        <v>77</v>
      </c>
      <c r="C14" s="130">
        <v>0</v>
      </c>
      <c r="D14" s="59">
        <v>0</v>
      </c>
      <c r="E14" s="59">
        <v>0</v>
      </c>
      <c r="F14" s="60">
        <v>354</v>
      </c>
      <c r="G14" s="59">
        <f t="shared" si="0"/>
        <v>354</v>
      </c>
      <c r="H14" s="111">
        <f>G14/G30</f>
        <v>2.8684871566323638E-2</v>
      </c>
    </row>
    <row r="15" spans="1:8" ht="24" customHeight="1">
      <c r="A15" s="146">
        <v>9</v>
      </c>
      <c r="B15" s="138" t="s">
        <v>78</v>
      </c>
      <c r="C15" s="129">
        <v>0</v>
      </c>
      <c r="D15" s="64">
        <v>1</v>
      </c>
      <c r="E15" s="59">
        <v>452</v>
      </c>
      <c r="F15" s="65">
        <v>1370</v>
      </c>
      <c r="G15" s="59">
        <f t="shared" si="0"/>
        <v>1823</v>
      </c>
      <c r="H15" s="111">
        <f>G15/G30</f>
        <v>0.1477189854955028</v>
      </c>
    </row>
    <row r="16" spans="1:8" ht="15" customHeight="1">
      <c r="A16" s="146">
        <v>10</v>
      </c>
      <c r="B16" s="138" t="s">
        <v>79</v>
      </c>
      <c r="C16" s="129">
        <v>0</v>
      </c>
      <c r="D16" s="64">
        <v>0</v>
      </c>
      <c r="E16" s="65">
        <v>0</v>
      </c>
      <c r="F16" s="65">
        <v>285</v>
      </c>
      <c r="G16" s="64">
        <f t="shared" si="0"/>
        <v>285</v>
      </c>
      <c r="H16" s="111">
        <f>G16/G30</f>
        <v>2.3093752532209709E-2</v>
      </c>
    </row>
    <row r="17" spans="1:8" ht="15" customHeight="1">
      <c r="A17" s="146">
        <v>11</v>
      </c>
      <c r="B17" s="138" t="s">
        <v>80</v>
      </c>
      <c r="C17" s="129">
        <v>0</v>
      </c>
      <c r="D17" s="64">
        <v>0</v>
      </c>
      <c r="E17" s="65">
        <v>0</v>
      </c>
      <c r="F17" s="60">
        <v>966</v>
      </c>
      <c r="G17" s="59">
        <f t="shared" si="0"/>
        <v>966</v>
      </c>
      <c r="H17" s="111">
        <f>G17/G30</f>
        <v>7.8275666477595013E-2</v>
      </c>
    </row>
    <row r="18" spans="1:8" ht="15" customHeight="1">
      <c r="A18" s="146">
        <v>12</v>
      </c>
      <c r="B18" s="138" t="s">
        <v>81</v>
      </c>
      <c r="C18" s="129">
        <v>0</v>
      </c>
      <c r="D18" s="64">
        <v>0</v>
      </c>
      <c r="E18" s="65">
        <v>2</v>
      </c>
      <c r="F18" s="65">
        <v>84</v>
      </c>
      <c r="G18" s="64">
        <f t="shared" si="0"/>
        <v>86</v>
      </c>
      <c r="H18" s="111">
        <f>G18/G30</f>
        <v>6.9686411149825784E-3</v>
      </c>
    </row>
    <row r="19" spans="1:8" ht="15" customHeight="1">
      <c r="A19" s="146">
        <v>13</v>
      </c>
      <c r="B19" s="138" t="s">
        <v>82</v>
      </c>
      <c r="C19" s="129">
        <v>0</v>
      </c>
      <c r="D19" s="64">
        <v>0</v>
      </c>
      <c r="E19" s="65">
        <v>0</v>
      </c>
      <c r="F19" s="65">
        <v>770</v>
      </c>
      <c r="G19" s="64">
        <f t="shared" si="0"/>
        <v>770</v>
      </c>
      <c r="H19" s="111">
        <f>G19/G30</f>
        <v>6.2393647192285878E-2</v>
      </c>
    </row>
    <row r="20" spans="1:8" ht="14.25" customHeight="1">
      <c r="A20" s="146">
        <v>14</v>
      </c>
      <c r="B20" s="138" t="s">
        <v>83</v>
      </c>
      <c r="C20" s="129">
        <v>0</v>
      </c>
      <c r="D20" s="64">
        <v>0</v>
      </c>
      <c r="E20" s="65">
        <v>7</v>
      </c>
      <c r="F20" s="65">
        <v>305</v>
      </c>
      <c r="G20" s="64">
        <f t="shared" si="0"/>
        <v>312</v>
      </c>
      <c r="H20" s="111">
        <f>G20/G30</f>
        <v>2.5281581719471681E-2</v>
      </c>
    </row>
    <row r="21" spans="1:8" ht="13.5" customHeight="1">
      <c r="A21" s="147">
        <v>15</v>
      </c>
      <c r="B21" s="138" t="s">
        <v>84</v>
      </c>
      <c r="C21" s="129">
        <v>0</v>
      </c>
      <c r="D21" s="64">
        <v>0</v>
      </c>
      <c r="E21" s="65">
        <v>0</v>
      </c>
      <c r="F21" s="65">
        <v>459</v>
      </c>
      <c r="G21" s="64">
        <f t="shared" si="0"/>
        <v>459</v>
      </c>
      <c r="H21" s="111">
        <f>G21/G30</f>
        <v>3.7193096183453532E-2</v>
      </c>
    </row>
    <row r="22" spans="1:8" ht="15" customHeight="1">
      <c r="A22" s="146">
        <v>16</v>
      </c>
      <c r="B22" s="138" t="s">
        <v>85</v>
      </c>
      <c r="C22" s="129">
        <v>0</v>
      </c>
      <c r="D22" s="64">
        <v>0</v>
      </c>
      <c r="E22" s="65">
        <v>0</v>
      </c>
      <c r="F22" s="65">
        <v>478</v>
      </c>
      <c r="G22" s="59">
        <f t="shared" si="0"/>
        <v>478</v>
      </c>
      <c r="H22" s="111">
        <f>G22/G30</f>
        <v>3.8732679685600846E-2</v>
      </c>
    </row>
    <row r="23" spans="1:8" ht="24" customHeight="1">
      <c r="A23" s="147">
        <v>17</v>
      </c>
      <c r="B23" s="138" t="s">
        <v>86</v>
      </c>
      <c r="C23" s="129">
        <v>0</v>
      </c>
      <c r="D23" s="64">
        <v>0</v>
      </c>
      <c r="E23" s="65">
        <v>0</v>
      </c>
      <c r="F23" s="65">
        <v>243</v>
      </c>
      <c r="G23" s="64">
        <f t="shared" si="0"/>
        <v>243</v>
      </c>
      <c r="H23" s="111">
        <f>G23/G30</f>
        <v>1.9690462685357752E-2</v>
      </c>
    </row>
    <row r="24" spans="1:8" ht="17.25" customHeight="1">
      <c r="A24" s="146">
        <v>18</v>
      </c>
      <c r="B24" s="139" t="s">
        <v>87</v>
      </c>
      <c r="C24" s="129">
        <v>0</v>
      </c>
      <c r="D24" s="64">
        <v>0</v>
      </c>
      <c r="E24" s="65">
        <v>1</v>
      </c>
      <c r="F24" s="65">
        <v>199</v>
      </c>
      <c r="G24" s="64">
        <f t="shared" si="0"/>
        <v>200</v>
      </c>
      <c r="H24" s="111">
        <f>G24/G30</f>
        <v>1.620614212786646E-2</v>
      </c>
    </row>
    <row r="25" spans="1:8" ht="15.75" customHeight="1">
      <c r="A25" s="146">
        <v>19</v>
      </c>
      <c r="B25" s="139" t="s">
        <v>88</v>
      </c>
      <c r="C25" s="129">
        <v>0</v>
      </c>
      <c r="D25" s="64">
        <v>0</v>
      </c>
      <c r="E25" s="65">
        <v>9</v>
      </c>
      <c r="F25" s="65">
        <v>255</v>
      </c>
      <c r="G25" s="64">
        <f t="shared" si="0"/>
        <v>264</v>
      </c>
      <c r="H25" s="111">
        <f>G25/G30</f>
        <v>2.1392107608783729E-2</v>
      </c>
    </row>
    <row r="26" spans="1:8" ht="24" customHeight="1">
      <c r="A26" s="147">
        <v>20</v>
      </c>
      <c r="B26" s="139" t="s">
        <v>89</v>
      </c>
      <c r="C26" s="129">
        <v>0</v>
      </c>
      <c r="D26" s="64">
        <v>0</v>
      </c>
      <c r="E26" s="65">
        <v>0</v>
      </c>
      <c r="F26" s="65">
        <v>33</v>
      </c>
      <c r="G26" s="69">
        <f t="shared" si="0"/>
        <v>33</v>
      </c>
      <c r="H26" s="111">
        <f>G26/G30</f>
        <v>2.6740134510979661E-3</v>
      </c>
    </row>
    <row r="27" spans="1:8" ht="16.5" customHeight="1">
      <c r="A27" s="146">
        <v>21</v>
      </c>
      <c r="B27" s="139" t="s">
        <v>90</v>
      </c>
      <c r="C27" s="129">
        <v>0</v>
      </c>
      <c r="D27" s="64">
        <v>0</v>
      </c>
      <c r="E27" s="65">
        <v>0</v>
      </c>
      <c r="F27" s="65">
        <v>17</v>
      </c>
      <c r="G27" s="64">
        <f t="shared" si="0"/>
        <v>17</v>
      </c>
      <c r="H27" s="111">
        <f>G27/G30</f>
        <v>1.3775220808686492E-3</v>
      </c>
    </row>
    <row r="28" spans="1:8" ht="14.25" customHeight="1">
      <c r="A28" s="146">
        <v>22</v>
      </c>
      <c r="B28" s="140" t="s">
        <v>91</v>
      </c>
      <c r="C28" s="129">
        <v>0</v>
      </c>
      <c r="D28" s="64">
        <v>0</v>
      </c>
      <c r="E28" s="65">
        <v>1</v>
      </c>
      <c r="F28" s="65">
        <f>1225+29</f>
        <v>1254</v>
      </c>
      <c r="G28" s="64">
        <f t="shared" si="0"/>
        <v>1255</v>
      </c>
      <c r="H28" s="111">
        <f>G28/G30</f>
        <v>0.10169354185236204</v>
      </c>
    </row>
    <row r="29" spans="1:8" ht="15" customHeight="1" thickBot="1">
      <c r="A29" s="148">
        <v>23</v>
      </c>
      <c r="B29" s="165" t="s">
        <v>92</v>
      </c>
      <c r="C29" s="161">
        <v>0</v>
      </c>
      <c r="D29" s="94">
        <v>0</v>
      </c>
      <c r="E29" s="101">
        <v>0</v>
      </c>
      <c r="F29" s="101">
        <v>4</v>
      </c>
      <c r="G29" s="94">
        <f t="shared" si="0"/>
        <v>4</v>
      </c>
      <c r="H29" s="158">
        <f>G29/G30</f>
        <v>3.2412284255732923E-4</v>
      </c>
    </row>
    <row r="30" spans="1:8" ht="24" customHeight="1" thickBot="1">
      <c r="A30" s="483" t="s">
        <v>6</v>
      </c>
      <c r="B30" s="483"/>
      <c r="C30" s="162">
        <f t="shared" ref="C30:H30" si="1">SUM(C7:C29)</f>
        <v>2</v>
      </c>
      <c r="D30" s="162">
        <f t="shared" si="1"/>
        <v>1</v>
      </c>
      <c r="E30" s="99">
        <f t="shared" si="1"/>
        <v>483</v>
      </c>
      <c r="F30" s="99">
        <f>SUM(F7:F29)</f>
        <v>11855</v>
      </c>
      <c r="G30" s="100">
        <f t="shared" si="1"/>
        <v>12341</v>
      </c>
      <c r="H30" s="160">
        <f t="shared" si="1"/>
        <v>1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40"/>
      <c r="B32" s="40"/>
      <c r="F32" s="88" t="s">
        <v>12</v>
      </c>
    </row>
    <row r="33" spans="1:6">
      <c r="A33" s="478">
        <v>42740</v>
      </c>
      <c r="B33" s="478"/>
      <c r="F33" s="88" t="s">
        <v>93</v>
      </c>
    </row>
    <row r="34" spans="1:6">
      <c r="B34" s="102"/>
    </row>
  </sheetData>
  <mergeCells count="9">
    <mergeCell ref="H5:H6"/>
    <mergeCell ref="C4:H4"/>
    <mergeCell ref="A33:B33"/>
    <mergeCell ref="A30:B30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G30" sqref="G30"/>
    </sheetView>
  </sheetViews>
  <sheetFormatPr defaultRowHeight="12.75"/>
  <cols>
    <col min="1" max="1" width="5.42578125" customWidth="1"/>
    <col min="2" max="2" width="53.42578125" customWidth="1"/>
    <col min="3" max="7" width="12.7109375" customWidth="1"/>
    <col min="8" max="8" width="12.28515625" customWidth="1"/>
  </cols>
  <sheetData>
    <row r="1" spans="1:8">
      <c r="A1" s="123" t="s">
        <v>115</v>
      </c>
      <c r="B1" s="25"/>
    </row>
    <row r="2" spans="1:8" ht="30.75" customHeight="1">
      <c r="A2" s="482" t="s">
        <v>145</v>
      </c>
      <c r="B2" s="482"/>
      <c r="C2" s="482"/>
      <c r="D2" s="482"/>
      <c r="E2" s="482"/>
      <c r="F2" s="482"/>
      <c r="G2" s="482"/>
    </row>
    <row r="3" spans="1:8" ht="11.25" customHeight="1" thickBot="1">
      <c r="A3" s="443"/>
      <c r="B3" s="443"/>
      <c r="C3" s="443"/>
    </row>
    <row r="4" spans="1:8" ht="14.25" customHeight="1">
      <c r="A4" s="143"/>
      <c r="B4" s="134"/>
      <c r="C4" s="457" t="s">
        <v>62</v>
      </c>
      <c r="D4" s="446"/>
      <c r="E4" s="446"/>
      <c r="F4" s="446"/>
      <c r="G4" s="446"/>
      <c r="H4" s="447"/>
    </row>
    <row r="5" spans="1:8" ht="13.5" customHeight="1">
      <c r="A5" s="144" t="s">
        <v>63</v>
      </c>
      <c r="B5" s="135" t="s">
        <v>64</v>
      </c>
      <c r="C5" s="458" t="s">
        <v>65</v>
      </c>
      <c r="D5" s="449"/>
      <c r="E5" s="450" t="s">
        <v>66</v>
      </c>
      <c r="F5" s="450"/>
      <c r="G5" s="451" t="s">
        <v>6</v>
      </c>
      <c r="H5" s="480" t="s">
        <v>116</v>
      </c>
    </row>
    <row r="6" spans="1:8" ht="24" customHeight="1" thickBot="1">
      <c r="A6" s="142"/>
      <c r="B6" s="136"/>
      <c r="C6" s="151" t="s">
        <v>67</v>
      </c>
      <c r="D6" s="106" t="s">
        <v>68</v>
      </c>
      <c r="E6" s="106" t="s">
        <v>68</v>
      </c>
      <c r="F6" s="106" t="s">
        <v>69</v>
      </c>
      <c r="G6" s="479"/>
      <c r="H6" s="481"/>
    </row>
    <row r="7" spans="1:8" ht="14.25" customHeight="1">
      <c r="A7" s="163">
        <v>1</v>
      </c>
      <c r="B7" s="137" t="s">
        <v>70</v>
      </c>
      <c r="C7" s="128">
        <v>0</v>
      </c>
      <c r="D7" s="83">
        <v>0</v>
      </c>
      <c r="E7" s="93">
        <v>1</v>
      </c>
      <c r="F7" s="93">
        <v>86</v>
      </c>
      <c r="G7" s="81">
        <f>SUM(C7+D7+E7+F7)</f>
        <v>87</v>
      </c>
      <c r="H7" s="110">
        <f>G7/G30</f>
        <v>4.1444359756097563E-3</v>
      </c>
    </row>
    <row r="8" spans="1:8" ht="14.25" customHeight="1">
      <c r="A8" s="146">
        <v>2</v>
      </c>
      <c r="B8" s="138" t="s">
        <v>71</v>
      </c>
      <c r="C8" s="129">
        <v>0</v>
      </c>
      <c r="D8" s="64">
        <v>0</v>
      </c>
      <c r="E8" s="65">
        <v>0</v>
      </c>
      <c r="F8" s="65">
        <v>27</v>
      </c>
      <c r="G8" s="104">
        <f>SUM(C8+D8+E8+F8)</f>
        <v>27</v>
      </c>
      <c r="H8" s="111">
        <f>G8/G30</f>
        <v>1.286204268292683E-3</v>
      </c>
    </row>
    <row r="9" spans="1:8" ht="12.75" customHeight="1">
      <c r="A9" s="146">
        <v>3</v>
      </c>
      <c r="B9" s="138" t="s">
        <v>72</v>
      </c>
      <c r="C9" s="129">
        <v>24</v>
      </c>
      <c r="D9" s="64">
        <v>0</v>
      </c>
      <c r="E9" s="65">
        <v>2</v>
      </c>
      <c r="F9" s="65">
        <v>1006</v>
      </c>
      <c r="G9" s="104">
        <f t="shared" ref="G9:G29" si="0">SUM(C9+D9+E9+F9)</f>
        <v>1032</v>
      </c>
      <c r="H9" s="111">
        <f>G9/G30</f>
        <v>4.9161585365853661E-2</v>
      </c>
    </row>
    <row r="10" spans="1:8" ht="15" customHeight="1">
      <c r="A10" s="146">
        <v>4</v>
      </c>
      <c r="B10" s="138" t="s">
        <v>73</v>
      </c>
      <c r="C10" s="130">
        <v>0</v>
      </c>
      <c r="D10" s="67">
        <v>0</v>
      </c>
      <c r="E10" s="68">
        <v>0</v>
      </c>
      <c r="F10" s="60">
        <v>7</v>
      </c>
      <c r="G10" s="105">
        <f t="shared" si="0"/>
        <v>7</v>
      </c>
      <c r="H10" s="111">
        <f>G10/G30</f>
        <v>3.3346036585365856E-4</v>
      </c>
    </row>
    <row r="11" spans="1:8" ht="24" customHeight="1">
      <c r="A11" s="146">
        <v>5</v>
      </c>
      <c r="B11" s="138" t="s">
        <v>74</v>
      </c>
      <c r="C11" s="129">
        <v>0</v>
      </c>
      <c r="D11" s="64">
        <v>0</v>
      </c>
      <c r="E11" s="65">
        <v>0</v>
      </c>
      <c r="F11" s="65">
        <v>2</v>
      </c>
      <c r="G11" s="105">
        <f t="shared" si="0"/>
        <v>2</v>
      </c>
      <c r="H11" s="111">
        <f>G11/G30</f>
        <v>9.5274390243902442E-5</v>
      </c>
    </row>
    <row r="12" spans="1:8" ht="12.75" customHeight="1">
      <c r="A12" s="146">
        <v>6</v>
      </c>
      <c r="B12" s="138" t="s">
        <v>75</v>
      </c>
      <c r="C12" s="130">
        <v>0</v>
      </c>
      <c r="D12" s="59">
        <v>0</v>
      </c>
      <c r="E12" s="60">
        <v>5</v>
      </c>
      <c r="F12" s="60">
        <v>765</v>
      </c>
      <c r="G12" s="105">
        <f t="shared" si="0"/>
        <v>770</v>
      </c>
      <c r="H12" s="111">
        <f>G12/G30</f>
        <v>3.668064024390244E-2</v>
      </c>
    </row>
    <row r="13" spans="1:8" ht="24" customHeight="1">
      <c r="A13" s="146">
        <v>7</v>
      </c>
      <c r="B13" s="138" t="s">
        <v>76</v>
      </c>
      <c r="C13" s="130">
        <v>0</v>
      </c>
      <c r="D13" s="59">
        <v>165</v>
      </c>
      <c r="E13" s="60">
        <v>31</v>
      </c>
      <c r="F13" s="60">
        <v>3302</v>
      </c>
      <c r="G13" s="105">
        <f t="shared" si="0"/>
        <v>3498</v>
      </c>
      <c r="H13" s="111">
        <f>G13/G30</f>
        <v>0.16663490853658536</v>
      </c>
    </row>
    <row r="14" spans="1:8" ht="14.25" customHeight="1">
      <c r="A14" s="146">
        <v>8</v>
      </c>
      <c r="B14" s="138" t="s">
        <v>77</v>
      </c>
      <c r="C14" s="130">
        <v>0</v>
      </c>
      <c r="D14" s="59">
        <v>26</v>
      </c>
      <c r="E14" s="59">
        <v>4</v>
      </c>
      <c r="F14" s="60">
        <v>787</v>
      </c>
      <c r="G14" s="105">
        <f t="shared" si="0"/>
        <v>817</v>
      </c>
      <c r="H14" s="111">
        <f>G14/G30</f>
        <v>3.8919588414634144E-2</v>
      </c>
    </row>
    <row r="15" spans="1:8" ht="24" customHeight="1">
      <c r="A15" s="146">
        <v>9</v>
      </c>
      <c r="B15" s="138" t="s">
        <v>78</v>
      </c>
      <c r="C15" s="129">
        <v>0</v>
      </c>
      <c r="D15" s="64">
        <v>1443</v>
      </c>
      <c r="E15" s="59">
        <v>4325</v>
      </c>
      <c r="F15" s="65">
        <f>2762+1</f>
        <v>2763</v>
      </c>
      <c r="G15" s="105">
        <f t="shared" si="0"/>
        <v>8531</v>
      </c>
      <c r="H15" s="111">
        <f>G15/G30</f>
        <v>0.40639291158536583</v>
      </c>
    </row>
    <row r="16" spans="1:8" ht="15" customHeight="1">
      <c r="A16" s="146">
        <v>10</v>
      </c>
      <c r="B16" s="138" t="s">
        <v>79</v>
      </c>
      <c r="C16" s="129">
        <v>0</v>
      </c>
      <c r="D16" s="64">
        <v>0</v>
      </c>
      <c r="E16" s="65">
        <v>0</v>
      </c>
      <c r="F16" s="65">
        <v>286</v>
      </c>
      <c r="G16" s="104">
        <f t="shared" si="0"/>
        <v>286</v>
      </c>
      <c r="H16" s="111">
        <f>G16/G30</f>
        <v>1.3624237804878049E-2</v>
      </c>
    </row>
    <row r="17" spans="1:8" ht="15" customHeight="1">
      <c r="A17" s="146">
        <v>11</v>
      </c>
      <c r="B17" s="138" t="s">
        <v>80</v>
      </c>
      <c r="C17" s="129">
        <v>0</v>
      </c>
      <c r="D17" s="64">
        <v>0</v>
      </c>
      <c r="E17" s="65">
        <v>1</v>
      </c>
      <c r="F17" s="60">
        <f>950+1</f>
        <v>951</v>
      </c>
      <c r="G17" s="105">
        <f t="shared" si="0"/>
        <v>952</v>
      </c>
      <c r="H17" s="111">
        <f>G17/G30</f>
        <v>4.535060975609756E-2</v>
      </c>
    </row>
    <row r="18" spans="1:8" ht="15" customHeight="1">
      <c r="A18" s="146">
        <v>12</v>
      </c>
      <c r="B18" s="138" t="s">
        <v>81</v>
      </c>
      <c r="C18" s="129">
        <v>0</v>
      </c>
      <c r="D18" s="64">
        <v>0</v>
      </c>
      <c r="E18" s="65">
        <v>9</v>
      </c>
      <c r="F18" s="65">
        <v>287</v>
      </c>
      <c r="G18" s="104">
        <f t="shared" si="0"/>
        <v>296</v>
      </c>
      <c r="H18" s="111">
        <f>G18/G30</f>
        <v>1.4100609756097561E-2</v>
      </c>
    </row>
    <row r="19" spans="1:8" ht="15" customHeight="1">
      <c r="A19" s="146">
        <v>13</v>
      </c>
      <c r="B19" s="138" t="s">
        <v>82</v>
      </c>
      <c r="C19" s="129">
        <v>0</v>
      </c>
      <c r="D19" s="64">
        <v>1</v>
      </c>
      <c r="E19" s="65">
        <v>0</v>
      </c>
      <c r="F19" s="65">
        <v>759</v>
      </c>
      <c r="G19" s="104">
        <f t="shared" si="0"/>
        <v>760</v>
      </c>
      <c r="H19" s="111">
        <f>G19/G30</f>
        <v>3.6204268292682924E-2</v>
      </c>
    </row>
    <row r="20" spans="1:8" ht="14.25" customHeight="1">
      <c r="A20" s="146">
        <v>14</v>
      </c>
      <c r="B20" s="138" t="s">
        <v>83</v>
      </c>
      <c r="C20" s="129">
        <v>0</v>
      </c>
      <c r="D20" s="64">
        <v>50</v>
      </c>
      <c r="E20" s="65">
        <v>41</v>
      </c>
      <c r="F20" s="65">
        <v>552</v>
      </c>
      <c r="G20" s="104">
        <f t="shared" si="0"/>
        <v>643</v>
      </c>
      <c r="H20" s="111">
        <f>G20/G30</f>
        <v>3.0630716463414635E-2</v>
      </c>
    </row>
    <row r="21" spans="1:8" ht="13.5" customHeight="1">
      <c r="A21" s="147">
        <v>15</v>
      </c>
      <c r="B21" s="138" t="s">
        <v>84</v>
      </c>
      <c r="C21" s="129">
        <v>0</v>
      </c>
      <c r="D21" s="64">
        <v>7</v>
      </c>
      <c r="E21" s="65">
        <v>0</v>
      </c>
      <c r="F21" s="65">
        <v>693</v>
      </c>
      <c r="G21" s="104">
        <f t="shared" si="0"/>
        <v>700</v>
      </c>
      <c r="H21" s="111">
        <f>G21/G30</f>
        <v>3.3346036585365856E-2</v>
      </c>
    </row>
    <row r="22" spans="1:8" ht="15" customHeight="1">
      <c r="A22" s="146">
        <v>16</v>
      </c>
      <c r="B22" s="138" t="s">
        <v>85</v>
      </c>
      <c r="C22" s="129">
        <v>0</v>
      </c>
      <c r="D22" s="64">
        <v>11</v>
      </c>
      <c r="E22" s="65">
        <v>0</v>
      </c>
      <c r="F22" s="65">
        <v>308</v>
      </c>
      <c r="G22" s="105">
        <f t="shared" si="0"/>
        <v>319</v>
      </c>
      <c r="H22" s="111">
        <f>G22/G30</f>
        <v>1.5196265243902439E-2</v>
      </c>
    </row>
    <row r="23" spans="1:8" ht="24" customHeight="1">
      <c r="A23" s="147">
        <v>17</v>
      </c>
      <c r="B23" s="138" t="s">
        <v>86</v>
      </c>
      <c r="C23" s="129">
        <v>0</v>
      </c>
      <c r="D23" s="64">
        <v>0</v>
      </c>
      <c r="E23" s="65">
        <v>1</v>
      </c>
      <c r="F23" s="65">
        <f>256+1</f>
        <v>257</v>
      </c>
      <c r="G23" s="104">
        <f t="shared" si="0"/>
        <v>258</v>
      </c>
      <c r="H23" s="111">
        <f>G23/G30</f>
        <v>1.2290396341463415E-2</v>
      </c>
    </row>
    <row r="24" spans="1:8" ht="17.25" customHeight="1">
      <c r="A24" s="146">
        <v>18</v>
      </c>
      <c r="B24" s="139" t="s">
        <v>87</v>
      </c>
      <c r="C24" s="129">
        <v>0</v>
      </c>
      <c r="D24" s="64">
        <v>40</v>
      </c>
      <c r="E24" s="65">
        <v>11</v>
      </c>
      <c r="F24" s="65">
        <v>364</v>
      </c>
      <c r="G24" s="104">
        <f t="shared" si="0"/>
        <v>415</v>
      </c>
      <c r="H24" s="111">
        <f>G24/G30</f>
        <v>1.9769435975609755E-2</v>
      </c>
    </row>
    <row r="25" spans="1:8" ht="15.75" customHeight="1">
      <c r="A25" s="146">
        <v>19</v>
      </c>
      <c r="B25" s="139" t="s">
        <v>88</v>
      </c>
      <c r="C25" s="129">
        <v>0</v>
      </c>
      <c r="D25" s="64">
        <v>6</v>
      </c>
      <c r="E25" s="65">
        <v>25</v>
      </c>
      <c r="F25" s="65">
        <v>329</v>
      </c>
      <c r="G25" s="104">
        <f t="shared" si="0"/>
        <v>360</v>
      </c>
      <c r="H25" s="111">
        <f>G25/G30</f>
        <v>1.714939024390244E-2</v>
      </c>
    </row>
    <row r="26" spans="1:8" ht="24" customHeight="1">
      <c r="A26" s="147">
        <v>20</v>
      </c>
      <c r="B26" s="139" t="s">
        <v>89</v>
      </c>
      <c r="C26" s="129">
        <v>0</v>
      </c>
      <c r="D26" s="64">
        <v>0</v>
      </c>
      <c r="E26" s="65">
        <v>0</v>
      </c>
      <c r="F26" s="65">
        <v>32</v>
      </c>
      <c r="G26" s="107">
        <f t="shared" si="0"/>
        <v>32</v>
      </c>
      <c r="H26" s="111">
        <f>G26/G30</f>
        <v>1.5243902439024391E-3</v>
      </c>
    </row>
    <row r="27" spans="1:8" ht="16.5" customHeight="1">
      <c r="A27" s="146">
        <v>21</v>
      </c>
      <c r="B27" s="139" t="s">
        <v>90</v>
      </c>
      <c r="C27" s="129">
        <v>0</v>
      </c>
      <c r="D27" s="64">
        <v>0</v>
      </c>
      <c r="E27" s="65">
        <v>0</v>
      </c>
      <c r="F27" s="65">
        <v>19</v>
      </c>
      <c r="G27" s="104">
        <f t="shared" si="0"/>
        <v>19</v>
      </c>
      <c r="H27" s="111">
        <f>G27/G30</f>
        <v>9.0510670731707322E-4</v>
      </c>
    </row>
    <row r="28" spans="1:8" ht="14.25" customHeight="1">
      <c r="A28" s="146">
        <v>22</v>
      </c>
      <c r="B28" s="140" t="s">
        <v>91</v>
      </c>
      <c r="C28" s="129">
        <v>0</v>
      </c>
      <c r="D28" s="64">
        <v>1</v>
      </c>
      <c r="E28" s="65">
        <v>29</v>
      </c>
      <c r="F28" s="65">
        <f>1120+29</f>
        <v>1149</v>
      </c>
      <c r="G28" s="104">
        <f t="shared" si="0"/>
        <v>1179</v>
      </c>
      <c r="H28" s="111">
        <f>G28/G30</f>
        <v>5.6164253048780491E-2</v>
      </c>
    </row>
    <row r="29" spans="1:8" ht="15" customHeight="1" thickBot="1">
      <c r="A29" s="148">
        <v>23</v>
      </c>
      <c r="B29" s="165" t="s">
        <v>92</v>
      </c>
      <c r="C29" s="161">
        <v>0</v>
      </c>
      <c r="D29" s="94">
        <v>0</v>
      </c>
      <c r="E29" s="101">
        <v>0</v>
      </c>
      <c r="F29" s="101">
        <v>2</v>
      </c>
      <c r="G29" s="108">
        <f t="shared" si="0"/>
        <v>2</v>
      </c>
      <c r="H29" s="112">
        <f>G29/G30</f>
        <v>9.5274390243902442E-5</v>
      </c>
    </row>
    <row r="30" spans="1:8" ht="24" customHeight="1" thickBot="1">
      <c r="A30" s="483" t="s">
        <v>6</v>
      </c>
      <c r="B30" s="483"/>
      <c r="C30" s="162">
        <f t="shared" ref="C30:H30" si="1">SUM(C7:C29)</f>
        <v>24</v>
      </c>
      <c r="D30" s="99">
        <f t="shared" si="1"/>
        <v>1750</v>
      </c>
      <c r="E30" s="99">
        <f t="shared" si="1"/>
        <v>4485</v>
      </c>
      <c r="F30" s="99">
        <f t="shared" si="1"/>
        <v>14733</v>
      </c>
      <c r="G30" s="109">
        <f t="shared" si="1"/>
        <v>20992</v>
      </c>
      <c r="H30" s="113">
        <f t="shared" si="1"/>
        <v>1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40"/>
      <c r="B32" s="40"/>
      <c r="F32" s="88" t="s">
        <v>12</v>
      </c>
    </row>
    <row r="33" spans="1:6">
      <c r="A33" s="478">
        <v>42751</v>
      </c>
      <c r="B33" s="478"/>
      <c r="F33" s="88" t="s">
        <v>93</v>
      </c>
    </row>
    <row r="34" spans="1:6">
      <c r="B34" s="102"/>
    </row>
  </sheetData>
  <mergeCells count="9">
    <mergeCell ref="H5:H6"/>
    <mergeCell ref="C4:H4"/>
    <mergeCell ref="A30:B30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topLeftCell="A10" workbookViewId="0">
      <selection activeCell="N15" sqref="N15"/>
    </sheetView>
  </sheetViews>
  <sheetFormatPr defaultRowHeight="12.75"/>
  <cols>
    <col min="1" max="1" width="5.42578125" customWidth="1"/>
    <col min="2" max="2" width="52.7109375" customWidth="1"/>
    <col min="3" max="7" width="12.7109375" customWidth="1"/>
    <col min="8" max="8" width="12.5703125" customWidth="1"/>
  </cols>
  <sheetData>
    <row r="1" spans="1:8">
      <c r="A1" s="123" t="s">
        <v>150</v>
      </c>
      <c r="B1" s="25"/>
    </row>
    <row r="2" spans="1:8" ht="30.75" customHeight="1">
      <c r="A2" s="482" t="s">
        <v>146</v>
      </c>
      <c r="B2" s="482"/>
      <c r="C2" s="482"/>
      <c r="D2" s="482"/>
      <c r="E2" s="482"/>
      <c r="F2" s="482"/>
      <c r="G2" s="482"/>
    </row>
    <row r="3" spans="1:8" ht="11.25" customHeight="1" thickBot="1">
      <c r="A3" s="443"/>
      <c r="B3" s="443"/>
      <c r="C3" s="443"/>
    </row>
    <row r="4" spans="1:8" ht="14.25" customHeight="1">
      <c r="A4" s="143"/>
      <c r="B4" s="134"/>
      <c r="C4" s="462" t="s">
        <v>62</v>
      </c>
      <c r="D4" s="462"/>
      <c r="E4" s="462"/>
      <c r="F4" s="462"/>
      <c r="G4" s="462"/>
      <c r="H4" s="486"/>
    </row>
    <row r="5" spans="1:8" ht="13.5" customHeight="1">
      <c r="A5" s="144" t="s">
        <v>63</v>
      </c>
      <c r="B5" s="135" t="s">
        <v>64</v>
      </c>
      <c r="C5" s="465" t="s">
        <v>65</v>
      </c>
      <c r="D5" s="458"/>
      <c r="E5" s="466" t="s">
        <v>66</v>
      </c>
      <c r="F5" s="467"/>
      <c r="G5" s="484" t="s">
        <v>6</v>
      </c>
      <c r="H5" s="480" t="s">
        <v>116</v>
      </c>
    </row>
    <row r="6" spans="1:8" ht="24" customHeight="1" thickBot="1">
      <c r="A6" s="142"/>
      <c r="B6" s="142"/>
      <c r="C6" s="62" t="s">
        <v>67</v>
      </c>
      <c r="D6" s="63" t="s">
        <v>68</v>
      </c>
      <c r="E6" s="63" t="s">
        <v>68</v>
      </c>
      <c r="F6" s="98" t="s">
        <v>69</v>
      </c>
      <c r="G6" s="485"/>
      <c r="H6" s="481"/>
    </row>
    <row r="7" spans="1:8" ht="14.25" customHeight="1">
      <c r="A7" s="163">
        <v>1</v>
      </c>
      <c r="B7" s="164" t="s">
        <v>70</v>
      </c>
      <c r="C7" s="166">
        <v>0</v>
      </c>
      <c r="D7" s="97">
        <v>0</v>
      </c>
      <c r="E7" s="92">
        <v>1</v>
      </c>
      <c r="F7" s="92">
        <v>92</v>
      </c>
      <c r="G7" s="167">
        <f>SUM(C7+D7+E7+F7)</f>
        <v>93</v>
      </c>
      <c r="H7" s="111">
        <f>G7/G30</f>
        <v>3.6676262964861774E-3</v>
      </c>
    </row>
    <row r="8" spans="1:8" ht="14.25" customHeight="1">
      <c r="A8" s="146">
        <v>2</v>
      </c>
      <c r="B8" s="138" t="s">
        <v>71</v>
      </c>
      <c r="C8" s="129">
        <v>0</v>
      </c>
      <c r="D8" s="64">
        <v>0</v>
      </c>
      <c r="E8" s="65">
        <v>0</v>
      </c>
      <c r="F8" s="65">
        <v>25</v>
      </c>
      <c r="G8" s="104">
        <f>SUM(C8+D8+E8+F8)</f>
        <v>25</v>
      </c>
      <c r="H8" s="111">
        <f>G8/G30</f>
        <v>9.8592104744252089E-4</v>
      </c>
    </row>
    <row r="9" spans="1:8" ht="12.75" customHeight="1">
      <c r="A9" s="146">
        <v>3</v>
      </c>
      <c r="B9" s="138" t="s">
        <v>72</v>
      </c>
      <c r="C9" s="129">
        <v>38</v>
      </c>
      <c r="D9" s="64">
        <v>0</v>
      </c>
      <c r="E9" s="65">
        <v>3</v>
      </c>
      <c r="F9" s="65">
        <v>1017</v>
      </c>
      <c r="G9" s="104">
        <f t="shared" ref="G9:G29" si="0">SUM(C9+D9+E9+F9)</f>
        <v>1058</v>
      </c>
      <c r="H9" s="111">
        <f>G9/G30</f>
        <v>4.1724178727767479E-2</v>
      </c>
    </row>
    <row r="10" spans="1:8" ht="15" customHeight="1">
      <c r="A10" s="146">
        <v>4</v>
      </c>
      <c r="B10" s="138" t="s">
        <v>73</v>
      </c>
      <c r="C10" s="130">
        <v>0</v>
      </c>
      <c r="D10" s="67">
        <v>0</v>
      </c>
      <c r="E10" s="68">
        <v>0</v>
      </c>
      <c r="F10" s="60">
        <v>7</v>
      </c>
      <c r="G10" s="105">
        <f t="shared" si="0"/>
        <v>7</v>
      </c>
      <c r="H10" s="111">
        <f>G10/G30</f>
        <v>2.7605789328390585E-4</v>
      </c>
    </row>
    <row r="11" spans="1:8" ht="24" customHeight="1">
      <c r="A11" s="146">
        <v>5</v>
      </c>
      <c r="B11" s="138" t="s">
        <v>74</v>
      </c>
      <c r="C11" s="129">
        <v>0</v>
      </c>
      <c r="D11" s="64">
        <v>0</v>
      </c>
      <c r="E11" s="65">
        <v>0</v>
      </c>
      <c r="F11" s="65">
        <v>2</v>
      </c>
      <c r="G11" s="105">
        <f t="shared" si="0"/>
        <v>2</v>
      </c>
      <c r="H11" s="111">
        <f>G11/G30</f>
        <v>7.8873683795401665E-5</v>
      </c>
    </row>
    <row r="12" spans="1:8" ht="12.75" customHeight="1">
      <c r="A12" s="146">
        <v>6</v>
      </c>
      <c r="B12" s="138" t="s">
        <v>75</v>
      </c>
      <c r="C12" s="130">
        <v>0</v>
      </c>
      <c r="D12" s="59">
        <v>1</v>
      </c>
      <c r="E12" s="60">
        <v>6</v>
      </c>
      <c r="F12" s="60">
        <v>732</v>
      </c>
      <c r="G12" s="105">
        <f t="shared" si="0"/>
        <v>739</v>
      </c>
      <c r="H12" s="111">
        <f>G12/G30</f>
        <v>2.9143826162400913E-2</v>
      </c>
    </row>
    <row r="13" spans="1:8" ht="24" customHeight="1">
      <c r="A13" s="146">
        <v>7</v>
      </c>
      <c r="B13" s="138" t="s">
        <v>76</v>
      </c>
      <c r="C13" s="130">
        <v>0</v>
      </c>
      <c r="D13" s="59">
        <v>225</v>
      </c>
      <c r="E13" s="60">
        <v>48</v>
      </c>
      <c r="F13" s="60">
        <f>3319+2</f>
        <v>3321</v>
      </c>
      <c r="G13" s="105">
        <f t="shared" si="0"/>
        <v>3594</v>
      </c>
      <c r="H13" s="111">
        <f>G13/G30</f>
        <v>0.14173600978033679</v>
      </c>
    </row>
    <row r="14" spans="1:8" ht="14.25" customHeight="1">
      <c r="A14" s="146">
        <v>8</v>
      </c>
      <c r="B14" s="138" t="s">
        <v>77</v>
      </c>
      <c r="C14" s="130">
        <v>0</v>
      </c>
      <c r="D14" s="59">
        <v>33</v>
      </c>
      <c r="E14" s="59">
        <v>6</v>
      </c>
      <c r="F14" s="60">
        <v>960</v>
      </c>
      <c r="G14" s="105">
        <f t="shared" si="0"/>
        <v>999</v>
      </c>
      <c r="H14" s="111">
        <f>G14/G30</f>
        <v>3.9397405055803129E-2</v>
      </c>
    </row>
    <row r="15" spans="1:8" ht="24" customHeight="1">
      <c r="A15" s="146">
        <v>9</v>
      </c>
      <c r="B15" s="138" t="s">
        <v>78</v>
      </c>
      <c r="C15" s="129">
        <v>0</v>
      </c>
      <c r="D15" s="64">
        <v>2878</v>
      </c>
      <c r="E15" s="59">
        <v>5503</v>
      </c>
      <c r="F15" s="65">
        <f>3145+8</f>
        <v>3153</v>
      </c>
      <c r="G15" s="105">
        <f t="shared" si="0"/>
        <v>11534</v>
      </c>
      <c r="H15" s="111">
        <f>G15/G30</f>
        <v>0.45486453444808139</v>
      </c>
    </row>
    <row r="16" spans="1:8" ht="15" customHeight="1">
      <c r="A16" s="146">
        <v>10</v>
      </c>
      <c r="B16" s="138" t="s">
        <v>79</v>
      </c>
      <c r="C16" s="129">
        <v>0</v>
      </c>
      <c r="D16" s="64">
        <v>0</v>
      </c>
      <c r="E16" s="65">
        <v>0</v>
      </c>
      <c r="F16" s="65">
        <v>271</v>
      </c>
      <c r="G16" s="104">
        <f t="shared" si="0"/>
        <v>271</v>
      </c>
      <c r="H16" s="111">
        <f>G16/G30</f>
        <v>1.0687384154276926E-2</v>
      </c>
    </row>
    <row r="17" spans="1:8" ht="15" customHeight="1">
      <c r="A17" s="146">
        <v>11</v>
      </c>
      <c r="B17" s="138" t="s">
        <v>80</v>
      </c>
      <c r="C17" s="129">
        <v>0</v>
      </c>
      <c r="D17" s="64">
        <v>0</v>
      </c>
      <c r="E17" s="65">
        <v>1</v>
      </c>
      <c r="F17" s="60">
        <f>922+1</f>
        <v>923</v>
      </c>
      <c r="G17" s="105">
        <f t="shared" si="0"/>
        <v>924</v>
      </c>
      <c r="H17" s="111">
        <f>G17/G30</f>
        <v>3.6439641913475568E-2</v>
      </c>
    </row>
    <row r="18" spans="1:8" ht="15" customHeight="1">
      <c r="A18" s="146">
        <v>12</v>
      </c>
      <c r="B18" s="138" t="s">
        <v>81</v>
      </c>
      <c r="C18" s="129">
        <v>0</v>
      </c>
      <c r="D18" s="64">
        <v>3</v>
      </c>
      <c r="E18" s="65">
        <v>13</v>
      </c>
      <c r="F18" s="65">
        <v>300</v>
      </c>
      <c r="G18" s="104">
        <f t="shared" si="0"/>
        <v>316</v>
      </c>
      <c r="H18" s="111">
        <f>G18/G30</f>
        <v>1.2462042039673464E-2</v>
      </c>
    </row>
    <row r="19" spans="1:8" ht="15" customHeight="1">
      <c r="A19" s="146">
        <v>13</v>
      </c>
      <c r="B19" s="138" t="s">
        <v>82</v>
      </c>
      <c r="C19" s="129">
        <v>0</v>
      </c>
      <c r="D19" s="64">
        <v>2</v>
      </c>
      <c r="E19" s="65">
        <v>0</v>
      </c>
      <c r="F19" s="65">
        <v>723</v>
      </c>
      <c r="G19" s="104">
        <f t="shared" si="0"/>
        <v>725</v>
      </c>
      <c r="H19" s="111">
        <f>G19/G30</f>
        <v>2.8591710375833104E-2</v>
      </c>
    </row>
    <row r="20" spans="1:8" ht="14.25" customHeight="1">
      <c r="A20" s="146">
        <v>14</v>
      </c>
      <c r="B20" s="138" t="s">
        <v>83</v>
      </c>
      <c r="C20" s="129">
        <v>0</v>
      </c>
      <c r="D20" s="64">
        <v>48</v>
      </c>
      <c r="E20" s="65">
        <v>68</v>
      </c>
      <c r="F20" s="65">
        <v>634</v>
      </c>
      <c r="G20" s="104">
        <f t="shared" si="0"/>
        <v>750</v>
      </c>
      <c r="H20" s="111">
        <f>G20/G30</f>
        <v>2.9577631423275623E-2</v>
      </c>
    </row>
    <row r="21" spans="1:8" ht="13.5" customHeight="1">
      <c r="A21" s="147">
        <v>15</v>
      </c>
      <c r="B21" s="138" t="s">
        <v>84</v>
      </c>
      <c r="C21" s="129">
        <v>0</v>
      </c>
      <c r="D21" s="64">
        <v>10</v>
      </c>
      <c r="E21" s="65">
        <v>0</v>
      </c>
      <c r="F21" s="65">
        <v>1699</v>
      </c>
      <c r="G21" s="104">
        <f t="shared" si="0"/>
        <v>1709</v>
      </c>
      <c r="H21" s="111">
        <f>G21/G30</f>
        <v>6.7397562803170719E-2</v>
      </c>
    </row>
    <row r="22" spans="1:8" ht="15" customHeight="1">
      <c r="A22" s="146">
        <v>16</v>
      </c>
      <c r="B22" s="138" t="s">
        <v>85</v>
      </c>
      <c r="C22" s="129">
        <v>0</v>
      </c>
      <c r="D22" s="64">
        <v>12</v>
      </c>
      <c r="E22" s="65">
        <v>1</v>
      </c>
      <c r="F22" s="65">
        <v>281</v>
      </c>
      <c r="G22" s="105">
        <f t="shared" si="0"/>
        <v>294</v>
      </c>
      <c r="H22" s="111">
        <f>G22/G30</f>
        <v>1.1594431517924044E-2</v>
      </c>
    </row>
    <row r="23" spans="1:8" ht="24" customHeight="1">
      <c r="A23" s="147">
        <v>17</v>
      </c>
      <c r="B23" s="138" t="s">
        <v>86</v>
      </c>
      <c r="C23" s="129">
        <v>0</v>
      </c>
      <c r="D23" s="64">
        <v>0</v>
      </c>
      <c r="E23" s="65">
        <v>1</v>
      </c>
      <c r="F23" s="65">
        <f>262+1</f>
        <v>263</v>
      </c>
      <c r="G23" s="104">
        <f t="shared" si="0"/>
        <v>264</v>
      </c>
      <c r="H23" s="111">
        <f>G23/G30</f>
        <v>1.0411326260993019E-2</v>
      </c>
    </row>
    <row r="24" spans="1:8" ht="17.25" customHeight="1">
      <c r="A24" s="146">
        <v>18</v>
      </c>
      <c r="B24" s="139" t="s">
        <v>87</v>
      </c>
      <c r="C24" s="129">
        <v>0</v>
      </c>
      <c r="D24" s="64">
        <v>44</v>
      </c>
      <c r="E24" s="65">
        <v>12</v>
      </c>
      <c r="F24" s="65">
        <v>382</v>
      </c>
      <c r="G24" s="104">
        <f t="shared" si="0"/>
        <v>438</v>
      </c>
      <c r="H24" s="111">
        <f>G24/G30</f>
        <v>1.7273336751192966E-2</v>
      </c>
    </row>
    <row r="25" spans="1:8" ht="15.75" customHeight="1">
      <c r="A25" s="146">
        <v>19</v>
      </c>
      <c r="B25" s="139" t="s">
        <v>88</v>
      </c>
      <c r="C25" s="129">
        <v>0</v>
      </c>
      <c r="D25" s="64">
        <v>9</v>
      </c>
      <c r="E25" s="65">
        <v>31</v>
      </c>
      <c r="F25" s="65">
        <v>386</v>
      </c>
      <c r="G25" s="104">
        <f t="shared" si="0"/>
        <v>426</v>
      </c>
      <c r="H25" s="111">
        <f>G25/G30</f>
        <v>1.6800094648420555E-2</v>
      </c>
    </row>
    <row r="26" spans="1:8" ht="24" customHeight="1">
      <c r="A26" s="147">
        <v>20</v>
      </c>
      <c r="B26" s="139" t="s">
        <v>89</v>
      </c>
      <c r="C26" s="129">
        <v>0</v>
      </c>
      <c r="D26" s="64">
        <v>0</v>
      </c>
      <c r="E26" s="65">
        <v>0</v>
      </c>
      <c r="F26" s="65">
        <v>30</v>
      </c>
      <c r="G26" s="107">
        <f t="shared" si="0"/>
        <v>30</v>
      </c>
      <c r="H26" s="111">
        <f>G26/G30</f>
        <v>1.1831052569310249E-3</v>
      </c>
    </row>
    <row r="27" spans="1:8" ht="16.5" customHeight="1">
      <c r="A27" s="146">
        <v>21</v>
      </c>
      <c r="B27" s="139" t="s">
        <v>90</v>
      </c>
      <c r="C27" s="129">
        <v>0</v>
      </c>
      <c r="D27" s="64">
        <v>0</v>
      </c>
      <c r="E27" s="65">
        <v>0</v>
      </c>
      <c r="F27" s="65">
        <v>14</v>
      </c>
      <c r="G27" s="104">
        <f t="shared" si="0"/>
        <v>14</v>
      </c>
      <c r="H27" s="111">
        <f>G27/G30</f>
        <v>5.5211578656781169E-4</v>
      </c>
    </row>
    <row r="28" spans="1:8" ht="14.25" customHeight="1">
      <c r="A28" s="146">
        <v>22</v>
      </c>
      <c r="B28" s="140" t="s">
        <v>91</v>
      </c>
      <c r="C28" s="129">
        <v>0</v>
      </c>
      <c r="D28" s="64">
        <v>3</v>
      </c>
      <c r="E28" s="65">
        <v>31</v>
      </c>
      <c r="F28" s="65">
        <f>1082+26</f>
        <v>1108</v>
      </c>
      <c r="G28" s="104">
        <f t="shared" si="0"/>
        <v>1142</v>
      </c>
      <c r="H28" s="111">
        <f>G28/G30</f>
        <v>4.5036873447174351E-2</v>
      </c>
    </row>
    <row r="29" spans="1:8" ht="15" customHeight="1" thickBot="1">
      <c r="A29" s="148">
        <v>23</v>
      </c>
      <c r="B29" s="165" t="s">
        <v>92</v>
      </c>
      <c r="C29" s="161">
        <v>0</v>
      </c>
      <c r="D29" s="94">
        <v>0</v>
      </c>
      <c r="E29" s="101">
        <v>0</v>
      </c>
      <c r="F29" s="101">
        <v>3</v>
      </c>
      <c r="G29" s="108">
        <f t="shared" si="0"/>
        <v>3</v>
      </c>
      <c r="H29" s="158">
        <f>G29/G30</f>
        <v>1.1831052569310249E-4</v>
      </c>
    </row>
    <row r="30" spans="1:8" ht="24" customHeight="1" thickBot="1">
      <c r="A30" s="483" t="s">
        <v>6</v>
      </c>
      <c r="B30" s="483"/>
      <c r="C30" s="162">
        <f t="shared" ref="C30:H30" si="1">SUM(C7:C29)</f>
        <v>38</v>
      </c>
      <c r="D30" s="99">
        <f t="shared" si="1"/>
        <v>3268</v>
      </c>
      <c r="E30" s="99">
        <f t="shared" si="1"/>
        <v>5725</v>
      </c>
      <c r="F30" s="99">
        <f t="shared" si="1"/>
        <v>16326</v>
      </c>
      <c r="G30" s="100">
        <f t="shared" si="1"/>
        <v>25357</v>
      </c>
      <c r="H30" s="160">
        <f t="shared" si="1"/>
        <v>0.99999999999999989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40"/>
      <c r="B32" s="40"/>
      <c r="F32" s="88" t="s">
        <v>12</v>
      </c>
    </row>
    <row r="33" spans="1:6">
      <c r="A33" s="478">
        <v>42786</v>
      </c>
      <c r="B33" s="478"/>
      <c r="F33" s="88" t="s">
        <v>93</v>
      </c>
    </row>
    <row r="34" spans="1:6">
      <c r="B34" s="102"/>
    </row>
  </sheetData>
  <mergeCells count="9">
    <mergeCell ref="A30:B30"/>
    <mergeCell ref="A33:B33"/>
    <mergeCell ref="H5:H6"/>
    <mergeCell ref="A2:G2"/>
    <mergeCell ref="A3:C3"/>
    <mergeCell ref="C5:D5"/>
    <mergeCell ref="E5:F5"/>
    <mergeCell ref="G5:G6"/>
    <mergeCell ref="C4:H4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opLeftCell="E4" workbookViewId="0">
      <selection activeCell="R20" sqref="R20"/>
    </sheetView>
  </sheetViews>
  <sheetFormatPr defaultRowHeight="12.75"/>
  <cols>
    <col min="1" max="1" width="14.85546875" customWidth="1"/>
    <col min="4" max="4" width="9.7109375" customWidth="1"/>
    <col min="9" max="9" width="8.85546875" customWidth="1"/>
    <col min="10" max="10" width="9.5703125" customWidth="1"/>
    <col min="13" max="13" width="8.5703125" customWidth="1"/>
    <col min="14" max="14" width="10.7109375" customWidth="1"/>
  </cols>
  <sheetData>
    <row r="1" spans="1:14">
      <c r="A1" s="124" t="s">
        <v>99</v>
      </c>
      <c r="L1" s="386"/>
      <c r="M1" s="386"/>
      <c r="N1" s="386"/>
    </row>
    <row r="2" spans="1:14">
      <c r="A2" s="394" t="s">
        <v>50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>
      <c r="A3" s="395" t="s">
        <v>129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1:14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95" customHeight="1">
      <c r="A5" s="390" t="s">
        <v>0</v>
      </c>
      <c r="B5" s="396">
        <v>2015</v>
      </c>
      <c r="C5" s="396"/>
      <c r="D5" s="396"/>
      <c r="E5" s="396"/>
      <c r="F5" s="396"/>
      <c r="G5" s="396"/>
      <c r="H5" s="396">
        <v>2016</v>
      </c>
      <c r="I5" s="396"/>
      <c r="J5" s="396"/>
      <c r="K5" s="396"/>
      <c r="L5" s="396"/>
      <c r="M5" s="396"/>
      <c r="N5" s="397" t="s">
        <v>120</v>
      </c>
    </row>
    <row r="6" spans="1:14" ht="15.95" customHeight="1">
      <c r="A6" s="391"/>
      <c r="B6" s="190" t="s">
        <v>1</v>
      </c>
      <c r="C6" s="190" t="s">
        <v>2</v>
      </c>
      <c r="D6" s="190" t="s">
        <v>3</v>
      </c>
      <c r="E6" s="190" t="s">
        <v>4</v>
      </c>
      <c r="F6" s="190" t="s">
        <v>5</v>
      </c>
      <c r="G6" s="190" t="s">
        <v>6</v>
      </c>
      <c r="H6" s="190" t="s">
        <v>1</v>
      </c>
      <c r="I6" s="190" t="s">
        <v>2</v>
      </c>
      <c r="J6" s="190" t="s">
        <v>3</v>
      </c>
      <c r="K6" s="190" t="s">
        <v>4</v>
      </c>
      <c r="L6" s="190" t="s">
        <v>5</v>
      </c>
      <c r="M6" s="190" t="s">
        <v>6</v>
      </c>
      <c r="N6" s="398"/>
    </row>
    <row r="7" spans="1:14" ht="15.95" customHeight="1">
      <c r="A7" s="16" t="s">
        <v>20</v>
      </c>
      <c r="B7" s="17">
        <v>6027</v>
      </c>
      <c r="C7" s="17">
        <v>4354</v>
      </c>
      <c r="D7" s="17">
        <v>8380</v>
      </c>
      <c r="E7" s="17">
        <v>6395</v>
      </c>
      <c r="F7" s="17">
        <v>6080</v>
      </c>
      <c r="G7" s="17">
        <v>31236</v>
      </c>
      <c r="H7" s="17">
        <f>'κατά επαρχία και φύλο το 2016'!B7+'κατά επαρχία και φύλο το 2016'!I7</f>
        <v>4860</v>
      </c>
      <c r="I7" s="17">
        <f>'κατά επαρχία και φύλο το 2016'!C7+'κατά επαρχία και φύλο το 2016'!J7</f>
        <v>3828</v>
      </c>
      <c r="J7" s="17">
        <f>'κατά επαρχία και φύλο το 2016'!D7+'κατά επαρχία και φύλο το 2016'!K7</f>
        <v>8202</v>
      </c>
      <c r="K7" s="17">
        <f>'κατά επαρχία και φύλο το 2016'!E7+'κατά επαρχία και φύλο το 2016'!L7</f>
        <v>5549</v>
      </c>
      <c r="L7" s="17">
        <f>'κατά επαρχία και φύλο το 2016'!F7+'κατά επαρχία και φύλο το 2016'!M7</f>
        <v>5681</v>
      </c>
      <c r="M7" s="17">
        <f t="shared" ref="M7:M12" si="0">SUM(H7:L7)</f>
        <v>28120</v>
      </c>
      <c r="N7" s="191">
        <f t="shared" ref="N7:N12" si="1">+(M7/G7)-1</f>
        <v>-9.9756690997566899E-2</v>
      </c>
    </row>
    <row r="8" spans="1:14" ht="15.95" customHeight="1">
      <c r="A8" s="16" t="s">
        <v>21</v>
      </c>
      <c r="B8" s="17">
        <v>5942</v>
      </c>
      <c r="C8" s="17">
        <v>4246</v>
      </c>
      <c r="D8" s="17">
        <v>8301</v>
      </c>
      <c r="E8" s="17">
        <v>6369</v>
      </c>
      <c r="F8" s="17">
        <v>6042</v>
      </c>
      <c r="G8" s="17">
        <v>30900</v>
      </c>
      <c r="H8" s="17">
        <f>'κατά επαρχία και φύλο το 2016'!B8+'κατά επαρχία και φύλο το 2016'!I8</f>
        <v>4734</v>
      </c>
      <c r="I8" s="17">
        <f>'κατά επαρχία και φύλο το 2016'!C8+'κατά επαρχία και φύλο το 2016'!J8</f>
        <v>3800</v>
      </c>
      <c r="J8" s="17">
        <f>'κατά επαρχία και φύλο το 2016'!D8+'κατά επαρχία και φύλο το 2016'!K8</f>
        <v>8075</v>
      </c>
      <c r="K8" s="17">
        <f>'κατά επαρχία και φύλο το 2016'!E8+'κατά επαρχία και φύλο το 2016'!L8</f>
        <v>5649</v>
      </c>
      <c r="L8" s="17">
        <f>'κατά επαρχία και φύλο το 2016'!F8+'κατά επαρχία και φύλο το 2016'!M8</f>
        <v>5745</v>
      </c>
      <c r="M8" s="17">
        <f t="shared" si="0"/>
        <v>28003</v>
      </c>
      <c r="N8" s="191">
        <f t="shared" si="1"/>
        <v>-9.3754045307443357E-2</v>
      </c>
    </row>
    <row r="9" spans="1:14" ht="15.95" customHeight="1">
      <c r="A9" s="16" t="s">
        <v>22</v>
      </c>
      <c r="B9" s="17">
        <v>6106</v>
      </c>
      <c r="C9" s="17">
        <v>4190</v>
      </c>
      <c r="D9" s="17">
        <v>8143</v>
      </c>
      <c r="E9" s="17">
        <v>6274</v>
      </c>
      <c r="F9" s="17">
        <v>5601</v>
      </c>
      <c r="G9" s="17">
        <v>30314</v>
      </c>
      <c r="H9" s="17">
        <f>'κατά επαρχία και φύλο το 2016'!B9+'κατά επαρχία και φύλο το 2016'!I9</f>
        <v>4501</v>
      </c>
      <c r="I9" s="17">
        <f>'κατά επαρχία και φύλο το 2016'!C9+'κατά επαρχία και φύλο το 2016'!J9</f>
        <v>3393</v>
      </c>
      <c r="J9" s="17">
        <f>'κατά επαρχία και φύλο το 2016'!D9+'κατά επαρχία και φύλο το 2016'!K9</f>
        <v>7741</v>
      </c>
      <c r="K9" s="17">
        <f>'κατά επαρχία και φύλο το 2016'!E9+'κατά επαρχία και φύλο το 2016'!L9</f>
        <v>5196</v>
      </c>
      <c r="L9" s="17">
        <f>'κατά επαρχία και φύλο το 2016'!F9+'κατά επαρχία και φύλο το 2016'!M9</f>
        <v>4506</v>
      </c>
      <c r="M9" s="17">
        <f t="shared" si="0"/>
        <v>25337</v>
      </c>
      <c r="N9" s="191">
        <f t="shared" si="1"/>
        <v>-0.16418156627300917</v>
      </c>
    </row>
    <row r="10" spans="1:14" ht="15.95" customHeight="1">
      <c r="A10" s="16" t="s">
        <v>23</v>
      </c>
      <c r="B10" s="17">
        <v>5818</v>
      </c>
      <c r="C10" s="17">
        <v>3409</v>
      </c>
      <c r="D10" s="17">
        <v>4937</v>
      </c>
      <c r="E10" s="17">
        <v>5539</v>
      </c>
      <c r="F10" s="17">
        <v>3285</v>
      </c>
      <c r="G10" s="17">
        <v>22988</v>
      </c>
      <c r="H10" s="17">
        <f>'κατά επαρχία και φύλο το 2016'!B10+'κατά επαρχία και φύλο το 2016'!I10</f>
        <v>4464</v>
      </c>
      <c r="I10" s="17">
        <f>'κατά επαρχία και φύλο το 2016'!C10+'κατά επαρχία και φύλο το 2016'!J10</f>
        <v>2705</v>
      </c>
      <c r="J10" s="17">
        <f>'κατά επαρχία και φύλο το 2016'!D10+'κατά επαρχία και φύλο το 2016'!K10</f>
        <v>4535</v>
      </c>
      <c r="K10" s="17">
        <f>'κατά επαρχία και φύλο το 2016'!E10+'κατά επαρχία και φύλο το 2016'!L10</f>
        <v>4470</v>
      </c>
      <c r="L10" s="17">
        <f>'κατά επαρχία και φύλο το 2016'!F10+'κατά επαρχία και φύλο το 2016'!M10</f>
        <v>2557</v>
      </c>
      <c r="M10" s="17">
        <f t="shared" si="0"/>
        <v>18731</v>
      </c>
      <c r="N10" s="191">
        <f t="shared" si="1"/>
        <v>-0.18518357403862884</v>
      </c>
    </row>
    <row r="11" spans="1:14" ht="15.95" customHeight="1">
      <c r="A11" s="16" t="s">
        <v>24</v>
      </c>
      <c r="B11" s="17">
        <v>5499</v>
      </c>
      <c r="C11" s="17">
        <v>2741</v>
      </c>
      <c r="D11" s="17">
        <v>1966</v>
      </c>
      <c r="E11" s="17">
        <v>5123</v>
      </c>
      <c r="F11" s="17">
        <v>2308</v>
      </c>
      <c r="G11" s="17">
        <v>17637</v>
      </c>
      <c r="H11" s="17">
        <f>'κατά επαρχία και φύλο το 2016'!B11+'κατά επαρχία και φύλο το 2016'!I11</f>
        <v>4194</v>
      </c>
      <c r="I11" s="17">
        <f>'κατά επαρχία και φύλο το 2016'!C11+'κατά επαρχία και φύλο το 2016'!J11</f>
        <v>2266</v>
      </c>
      <c r="J11" s="17">
        <f>'κατά επαρχία και φύλο το 2016'!D11+'κατά επαρχία και φύλο το 2016'!K11</f>
        <v>2292</v>
      </c>
      <c r="K11" s="17">
        <f>'κατά επαρχία και φύλο το 2016'!E11+'κατά επαρχία και φύλο το 2016'!L11</f>
        <v>4182</v>
      </c>
      <c r="L11" s="17">
        <f>'κατά επαρχία και φύλο το 2016'!F11+'κατά επαρχία και φύλο το 2016'!M11</f>
        <v>1796</v>
      </c>
      <c r="M11" s="17">
        <f t="shared" si="0"/>
        <v>14730</v>
      </c>
      <c r="N11" s="191">
        <f t="shared" si="1"/>
        <v>-0.1648239496513012</v>
      </c>
    </row>
    <row r="12" spans="1:14" ht="15.95" customHeight="1" thickBot="1">
      <c r="A12" s="80" t="s">
        <v>25</v>
      </c>
      <c r="B12" s="180">
        <v>6127</v>
      </c>
      <c r="C12" s="180">
        <v>2823</v>
      </c>
      <c r="D12" s="180">
        <v>1156</v>
      </c>
      <c r="E12" s="180">
        <v>5687</v>
      </c>
      <c r="F12" s="180">
        <v>2049</v>
      </c>
      <c r="G12" s="180">
        <v>17842</v>
      </c>
      <c r="H12" s="17">
        <f>'κατά επαρχία και φύλο το 2016'!B12+'κατά επαρχία και φύλο το 2016'!I12</f>
        <v>5008</v>
      </c>
      <c r="I12" s="17">
        <f>'κατά επαρχία και φύλο το 2016'!C12+'κατά επαρχία και φύλο το 2016'!J12</f>
        <v>2184</v>
      </c>
      <c r="J12" s="17">
        <f>'κατά επαρχία και φύλο το 2016'!D12+'κατά επαρχία και φύλο το 2016'!K12</f>
        <v>739</v>
      </c>
      <c r="K12" s="17">
        <f>'κατά επαρχία και φύλο το 2016'!E12+'κατά επαρχία και φύλο το 2016'!L12</f>
        <v>4566</v>
      </c>
      <c r="L12" s="17">
        <f>'κατά επαρχία και φύλο το 2016'!F12+'κατά επαρχία και φύλο το 2016'!M12</f>
        <v>1465</v>
      </c>
      <c r="M12" s="17">
        <f t="shared" si="0"/>
        <v>13962</v>
      </c>
      <c r="N12" s="191">
        <f t="shared" si="1"/>
        <v>-0.21746440981952697</v>
      </c>
    </row>
    <row r="13" spans="1:14" ht="15.95" customHeight="1">
      <c r="A13" s="387" t="s">
        <v>45</v>
      </c>
      <c r="B13" s="294"/>
      <c r="C13" s="289"/>
      <c r="D13" s="289"/>
      <c r="E13" s="289"/>
      <c r="F13" s="289"/>
      <c r="G13" s="289"/>
      <c r="H13" s="294"/>
      <c r="I13" s="289"/>
      <c r="J13" s="289"/>
      <c r="K13" s="289"/>
      <c r="L13" s="289"/>
      <c r="M13" s="289"/>
      <c r="N13" s="290"/>
    </row>
    <row r="14" spans="1:14" ht="20.25" customHeight="1" thickBot="1">
      <c r="A14" s="384"/>
      <c r="B14" s="291">
        <v>5919.833333333333</v>
      </c>
      <c r="C14" s="291">
        <v>3627.1666666666665</v>
      </c>
      <c r="D14" s="291">
        <v>5480.5</v>
      </c>
      <c r="E14" s="291">
        <v>5897.833333333333</v>
      </c>
      <c r="F14" s="291">
        <v>4227.5</v>
      </c>
      <c r="G14" s="291">
        <v>25152.833333333332</v>
      </c>
      <c r="H14" s="291">
        <f t="shared" ref="H14:M14" si="2">AVERAGE(H7:H12)</f>
        <v>4626.833333333333</v>
      </c>
      <c r="I14" s="291">
        <f t="shared" si="2"/>
        <v>3029.3333333333335</v>
      </c>
      <c r="J14" s="291">
        <f t="shared" si="2"/>
        <v>5264</v>
      </c>
      <c r="K14" s="291">
        <f t="shared" si="2"/>
        <v>4935.333333333333</v>
      </c>
      <c r="L14" s="291">
        <f t="shared" si="2"/>
        <v>3625</v>
      </c>
      <c r="M14" s="291">
        <f t="shared" si="2"/>
        <v>21480.5</v>
      </c>
      <c r="N14" s="295">
        <f t="shared" ref="N14:N22" si="3">+(M14/G14)-1</f>
        <v>-0.14600078188673238</v>
      </c>
    </row>
    <row r="15" spans="1:14" ht="15.95" customHeight="1">
      <c r="A15" s="79" t="s">
        <v>26</v>
      </c>
      <c r="B15" s="13">
        <v>6573</v>
      </c>
      <c r="C15" s="13">
        <v>2788</v>
      </c>
      <c r="D15" s="13">
        <v>1086</v>
      </c>
      <c r="E15" s="13">
        <v>5962</v>
      </c>
      <c r="F15" s="13">
        <v>1844</v>
      </c>
      <c r="G15" s="13">
        <v>18253</v>
      </c>
      <c r="H15" s="13">
        <f>'κατά επαρχία και φύλο το 2016'!B15+'κατά επαρχία και φύλο το 2016'!I15</f>
        <v>5590</v>
      </c>
      <c r="I15" s="13">
        <f>'κατά επαρχία και φύλο το 2016'!C15+'κατά επαρχία και φύλο το 2016'!J15</f>
        <v>2294</v>
      </c>
      <c r="J15" s="13">
        <f>'κατά επαρχία και φύλο το 2016'!D15+'κατά επαρχία και φύλο το 2016'!K15</f>
        <v>727</v>
      </c>
      <c r="K15" s="13">
        <f>'κατά επαρχία και φύλο το 2016'!E15+'κατά επαρχία και φύλο το 2016'!L15</f>
        <v>4964</v>
      </c>
      <c r="L15" s="13">
        <f>'κατά επαρχία και φύλο το 2016'!F15+'κατά επαρχία και φύλο το 2016'!M15</f>
        <v>1507</v>
      </c>
      <c r="M15" s="13">
        <f t="shared" ref="M15:M20" si="4">SUM(H15:L15)</f>
        <v>15082</v>
      </c>
      <c r="N15" s="320">
        <f t="shared" si="3"/>
        <v>-0.1737248671451268</v>
      </c>
    </row>
    <row r="16" spans="1:14" ht="15.95" customHeight="1">
      <c r="A16" s="16" t="s">
        <v>7</v>
      </c>
      <c r="B16" s="17">
        <v>6447</v>
      </c>
      <c r="C16" s="17">
        <v>2689</v>
      </c>
      <c r="D16" s="17">
        <v>1016</v>
      </c>
      <c r="E16" s="17">
        <v>5872</v>
      </c>
      <c r="F16" s="17">
        <v>1735</v>
      </c>
      <c r="G16" s="17">
        <v>17759</v>
      </c>
      <c r="H16" s="13">
        <f>'κατά επαρχία και φύλο το 2016'!B16+'κατά επαρχία και φύλο το 2016'!I16</f>
        <v>5787</v>
      </c>
      <c r="I16" s="13">
        <f>'κατά επαρχία και φύλο το 2016'!C16+'κατά επαρχία και φύλο το 2016'!J16</f>
        <v>2337</v>
      </c>
      <c r="J16" s="13">
        <f>'κατά επαρχία και φύλο το 2016'!D16+'κατά επαρχία και φύλο το 2016'!K16</f>
        <v>739</v>
      </c>
      <c r="K16" s="13">
        <f>'κατά επαρχία και φύλο το 2016'!E16+'κατά επαρχία και φύλο το 2016'!L16</f>
        <v>5039</v>
      </c>
      <c r="L16" s="13">
        <f>'κατά επαρχία και φύλο το 2016'!F16+'κατά επαρχία και φύλο το 2016'!M16</f>
        <v>1517</v>
      </c>
      <c r="M16" s="13">
        <f t="shared" si="4"/>
        <v>15419</v>
      </c>
      <c r="N16" s="374">
        <f t="shared" si="3"/>
        <v>-0.1317641759108058</v>
      </c>
    </row>
    <row r="17" spans="1:20" ht="15.95" customHeight="1">
      <c r="A17" s="16" t="s">
        <v>27</v>
      </c>
      <c r="B17" s="17">
        <v>5802</v>
      </c>
      <c r="C17" s="17">
        <v>2491</v>
      </c>
      <c r="D17" s="17">
        <v>939</v>
      </c>
      <c r="E17" s="17">
        <v>5292</v>
      </c>
      <c r="F17" s="17">
        <v>1608</v>
      </c>
      <c r="G17" s="17">
        <v>16132</v>
      </c>
      <c r="H17" s="13">
        <f>'κατά επαρχία και φύλο το 2016'!B17+'κατά επαρχία και φύλο το 2016'!I17</f>
        <v>5166</v>
      </c>
      <c r="I17" s="13">
        <f>'κατά επαρχία και φύλο το 2016'!C17+'κατά επαρχία και φύλο το 2016'!J17</f>
        <v>2126</v>
      </c>
      <c r="J17" s="13">
        <f>'κατά επαρχία και φύλο το 2016'!D17+'κατά επαρχία και φύλο το 2016'!K17</f>
        <v>658</v>
      </c>
      <c r="K17" s="13">
        <f>'κατά επαρχία και φύλο το 2016'!E17+'κατά επαρχία και φύλο το 2016'!L17</f>
        <v>4451</v>
      </c>
      <c r="L17" s="13">
        <f>'κατά επαρχία και φύλο το 2016'!F17+'κατά επαρχία και φύλο το 2016'!M17</f>
        <v>1369</v>
      </c>
      <c r="M17" s="13">
        <f t="shared" si="4"/>
        <v>13770</v>
      </c>
      <c r="N17" s="374">
        <f t="shared" si="3"/>
        <v>-0.14641705926109594</v>
      </c>
    </row>
    <row r="18" spans="1:20" ht="15.95" customHeight="1">
      <c r="A18" s="16" t="s">
        <v>28</v>
      </c>
      <c r="B18" s="17">
        <v>4789</v>
      </c>
      <c r="C18" s="17">
        <v>2165</v>
      </c>
      <c r="D18" s="17">
        <v>1086</v>
      </c>
      <c r="E18" s="17">
        <v>4590</v>
      </c>
      <c r="F18" s="17">
        <v>1502</v>
      </c>
      <c r="G18" s="17">
        <v>14132</v>
      </c>
      <c r="H18" s="13">
        <f>'κατά επαρχία και φύλο το 2016'!B18+'κατά επαρχία και φύλο το 2016'!I18</f>
        <v>4353</v>
      </c>
      <c r="I18" s="13">
        <f>'κατά επαρχία και φύλο το 2016'!C18+'κατά επαρχία και φύλο το 2016'!J18</f>
        <v>1886</v>
      </c>
      <c r="J18" s="13">
        <f>'κατά επαρχία και φύλο το 2016'!D18+'κατά επαρχία και φύλο το 2016'!K18</f>
        <v>796</v>
      </c>
      <c r="K18" s="13">
        <f>'κατά επαρχία και φύλο το 2016'!E18+'κατά επαρχία και φύλο το 2016'!L18</f>
        <v>3875</v>
      </c>
      <c r="L18" s="13">
        <f>'κατά επαρχία και φύλο το 2016'!F18+'κατά επαρχία και φύλο το 2016'!M18</f>
        <v>1431</v>
      </c>
      <c r="M18" s="13">
        <f t="shared" si="4"/>
        <v>12341</v>
      </c>
      <c r="N18" s="374">
        <f t="shared" si="3"/>
        <v>-0.12673365411831305</v>
      </c>
    </row>
    <row r="19" spans="1:20" ht="15.95" customHeight="1">
      <c r="A19" s="16" t="s">
        <v>29</v>
      </c>
      <c r="B19" s="17">
        <v>4789</v>
      </c>
      <c r="C19" s="17">
        <v>3183</v>
      </c>
      <c r="D19" s="17">
        <v>6861</v>
      </c>
      <c r="E19" s="17">
        <v>4944</v>
      </c>
      <c r="F19" s="17">
        <v>3437</v>
      </c>
      <c r="G19" s="17">
        <v>23214</v>
      </c>
      <c r="H19" s="13">
        <f>'κατά επαρχία και φύλο το 2016'!B19+'κατά επαρχία και φύλο το 2016'!I19</f>
        <v>4295</v>
      </c>
      <c r="I19" s="13">
        <f>'κατά επαρχία και φύλο το 2016'!C19+'κατά επαρχία και φύλο το 2016'!J19</f>
        <v>2704</v>
      </c>
      <c r="J19" s="13">
        <f>'κατά επαρχία και φύλο το 2016'!D19+'κατά επαρχία και φύλο το 2016'!K19</f>
        <v>6390</v>
      </c>
      <c r="K19" s="13">
        <f>'κατά επαρχία και φύλο το 2016'!E19+'κατά επαρχία και φύλο το 2016'!L19</f>
        <v>4252</v>
      </c>
      <c r="L19" s="13">
        <f>'κατά επαρχία και φύλο το 2016'!F19+'κατά επαρχία και φύλο το 2016'!M19</f>
        <v>3351</v>
      </c>
      <c r="M19" s="13">
        <f t="shared" si="4"/>
        <v>20992</v>
      </c>
      <c r="N19" s="374">
        <f t="shared" si="3"/>
        <v>-9.5718101145860213E-2</v>
      </c>
    </row>
    <row r="20" spans="1:20" ht="15.95" customHeight="1" thickBot="1">
      <c r="A20" s="80" t="s">
        <v>30</v>
      </c>
      <c r="B20" s="180">
        <v>4777</v>
      </c>
      <c r="C20" s="180">
        <v>3732</v>
      </c>
      <c r="D20" s="180">
        <v>8005</v>
      </c>
      <c r="E20" s="180">
        <v>5224</v>
      </c>
      <c r="F20" s="180">
        <v>5205</v>
      </c>
      <c r="G20" s="180">
        <v>26943</v>
      </c>
      <c r="H20" s="13">
        <f>'κατά επαρχία και φύλο το 2016'!B20+'κατά επαρχία και φύλο το 2016'!I20</f>
        <v>4472</v>
      </c>
      <c r="I20" s="13">
        <f>'κατά επαρχία και φύλο το 2016'!C20+'κατά επαρχία και φύλο το 2016'!J20</f>
        <v>3267</v>
      </c>
      <c r="J20" s="13">
        <f>'κατά επαρχία και φύλο το 2016'!D20+'κατά επαρχία και φύλο το 2016'!K20</f>
        <v>7888</v>
      </c>
      <c r="K20" s="13">
        <f>'κατά επαρχία και φύλο το 2016'!E20+'κατά επαρχία και φύλο το 2016'!L20</f>
        <v>4591</v>
      </c>
      <c r="L20" s="13">
        <f>'κατά επαρχία και φύλο το 2016'!F20+'κατά επαρχία και φύλο το 2016'!M20</f>
        <v>5139</v>
      </c>
      <c r="M20" s="13">
        <f t="shared" si="4"/>
        <v>25357</v>
      </c>
      <c r="N20" s="375">
        <f t="shared" si="3"/>
        <v>-5.8865011320194505E-2</v>
      </c>
      <c r="Q20" s="372"/>
    </row>
    <row r="21" spans="1:20" ht="15.95" customHeight="1">
      <c r="A21" s="387" t="s">
        <v>43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321"/>
    </row>
    <row r="22" spans="1:20" ht="21" customHeight="1" thickBot="1">
      <c r="A22" s="384"/>
      <c r="B22" s="291">
        <v>5529.5</v>
      </c>
      <c r="C22" s="291">
        <v>2841.3333333333335</v>
      </c>
      <c r="D22" s="291">
        <v>3165.5</v>
      </c>
      <c r="E22" s="291">
        <v>5314</v>
      </c>
      <c r="F22" s="291">
        <v>2555.1666666666665</v>
      </c>
      <c r="G22" s="291">
        <v>19405.5</v>
      </c>
      <c r="H22" s="291">
        <f>AVERAGE(H15:H20)</f>
        <v>4943.833333333333</v>
      </c>
      <c r="I22" s="291">
        <f>AVERAGE(I15:I20)</f>
        <v>2435.6666666666665</v>
      </c>
      <c r="J22" s="291">
        <f t="shared" ref="J22:M22" si="5">AVERAGE(J15:J20)</f>
        <v>2866.3333333333335</v>
      </c>
      <c r="K22" s="291">
        <f t="shared" si="5"/>
        <v>4528.666666666667</v>
      </c>
      <c r="L22" s="291">
        <f t="shared" si="5"/>
        <v>2385.6666666666665</v>
      </c>
      <c r="M22" s="291">
        <f t="shared" si="5"/>
        <v>17160.166666666668</v>
      </c>
      <c r="N22" s="322">
        <f t="shared" si="3"/>
        <v>-0.11570602835965738</v>
      </c>
    </row>
    <row r="23" spans="1:20" ht="15.95" customHeight="1">
      <c r="A23" s="387" t="s">
        <v>48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</row>
    <row r="24" spans="1:20" ht="15.95" customHeight="1" thickBot="1">
      <c r="A24" s="384"/>
      <c r="B24" s="291">
        <v>5724.666666666667</v>
      </c>
      <c r="C24" s="291">
        <v>3234.25</v>
      </c>
      <c r="D24" s="291">
        <v>4323</v>
      </c>
      <c r="E24" s="291">
        <v>5605.916666666667</v>
      </c>
      <c r="F24" s="291">
        <v>3391.3333333333335</v>
      </c>
      <c r="G24" s="291">
        <v>22279.166666666668</v>
      </c>
      <c r="H24" s="373">
        <f>AVERAGE(H7:H12,H15:H20)</f>
        <v>4785.333333333333</v>
      </c>
      <c r="I24" s="291">
        <f t="shared" ref="I24:M24" si="6">AVERAGE(I7:I12,I15:I20)</f>
        <v>2732.5</v>
      </c>
      <c r="J24" s="291">
        <f>AVERAGE(J7:J12,J15:J20)</f>
        <v>4065.1666666666665</v>
      </c>
      <c r="K24" s="291">
        <f t="shared" si="6"/>
        <v>4732</v>
      </c>
      <c r="L24" s="291">
        <f>AVERAGE(L7:L12,L15:L20)</f>
        <v>3005.3333333333335</v>
      </c>
      <c r="M24" s="291">
        <f t="shared" si="6"/>
        <v>19320.333333333332</v>
      </c>
      <c r="N24" s="295">
        <f>(M24/G24)-1</f>
        <v>-0.13280718159715743</v>
      </c>
      <c r="Q24" s="372"/>
    </row>
    <row r="25" spans="1:20">
      <c r="A25" s="9"/>
      <c r="B25" s="9"/>
      <c r="C25" s="10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</row>
    <row r="26" spans="1:20">
      <c r="A26" s="18"/>
      <c r="B26" s="10"/>
      <c r="C26" s="9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</row>
    <row r="27" spans="1:20">
      <c r="A27" s="18"/>
      <c r="B27" s="10"/>
      <c r="C27" s="9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372"/>
      <c r="P27" s="372"/>
      <c r="Q27" s="372"/>
      <c r="R27" s="372"/>
      <c r="S27" s="372"/>
      <c r="T27" s="372"/>
    </row>
    <row r="28" spans="1:20">
      <c r="A28" s="1"/>
      <c r="B28" s="10"/>
      <c r="C28" s="9"/>
      <c r="D28" s="9"/>
      <c r="E28" s="9"/>
      <c r="F28" s="9"/>
      <c r="G28" s="9"/>
      <c r="H28" s="9"/>
      <c r="I28" s="9"/>
      <c r="J28" s="1"/>
      <c r="K28" s="1"/>
      <c r="L28" s="2" t="s">
        <v>12</v>
      </c>
      <c r="M28" s="1"/>
      <c r="N28" s="1"/>
    </row>
    <row r="29" spans="1:20">
      <c r="A29" s="32">
        <f>'κατά επαρχία και φύλο το 2016'!A28</f>
        <v>42786</v>
      </c>
      <c r="B29" s="10"/>
      <c r="C29" s="19"/>
      <c r="D29" s="9"/>
      <c r="E29" s="9"/>
      <c r="F29" s="9"/>
      <c r="G29" s="9"/>
      <c r="H29" s="9"/>
      <c r="I29" s="9"/>
      <c r="J29" s="1"/>
      <c r="K29" s="10" t="s">
        <v>11</v>
      </c>
      <c r="L29" s="2"/>
      <c r="M29" s="1"/>
      <c r="N29" s="1"/>
    </row>
  </sheetData>
  <mergeCells count="10">
    <mergeCell ref="L1:N1"/>
    <mergeCell ref="A13:A14"/>
    <mergeCell ref="A21:A22"/>
    <mergeCell ref="A23:A24"/>
    <mergeCell ref="A2:N2"/>
    <mergeCell ref="A3:N3"/>
    <mergeCell ref="B5:G5"/>
    <mergeCell ref="H5:M5"/>
    <mergeCell ref="A5:A6"/>
    <mergeCell ref="N5:N6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G21" sqref="G21"/>
    </sheetView>
  </sheetViews>
  <sheetFormatPr defaultRowHeight="12.75"/>
  <cols>
    <col min="1" max="1" width="13.5703125" customWidth="1"/>
    <col min="2" max="11" width="10.7109375" customWidth="1"/>
  </cols>
  <sheetData>
    <row r="1" spans="1:12">
      <c r="A1" s="1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>
      <c r="A2" s="400" t="s">
        <v>104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38"/>
    </row>
    <row r="3" spans="1:12">
      <c r="A3" s="395" t="s">
        <v>130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2"/>
    </row>
    <row r="4" spans="1:12" ht="13.5" thickBo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2"/>
    </row>
    <row r="5" spans="1:12">
      <c r="A5" s="390" t="s">
        <v>0</v>
      </c>
      <c r="B5" s="404">
        <v>2015</v>
      </c>
      <c r="C5" s="405"/>
      <c r="D5" s="405"/>
      <c r="E5" s="405"/>
      <c r="F5" s="405"/>
      <c r="G5" s="406"/>
      <c r="H5" s="404">
        <v>2016</v>
      </c>
      <c r="I5" s="405"/>
      <c r="J5" s="405"/>
      <c r="K5" s="410"/>
      <c r="L5" s="8"/>
    </row>
    <row r="6" spans="1:12">
      <c r="A6" s="403"/>
      <c r="B6" s="407"/>
      <c r="C6" s="408"/>
      <c r="D6" s="408"/>
      <c r="E6" s="408"/>
      <c r="F6" s="408"/>
      <c r="G6" s="409"/>
      <c r="H6" s="407"/>
      <c r="I6" s="408"/>
      <c r="J6" s="408"/>
      <c r="K6" s="411"/>
      <c r="L6" s="10"/>
    </row>
    <row r="7" spans="1:12" ht="15.95" customHeight="1">
      <c r="A7" s="391"/>
      <c r="B7" s="27" t="s">
        <v>8</v>
      </c>
      <c r="C7" s="27" t="s">
        <v>10</v>
      </c>
      <c r="D7" s="27" t="s">
        <v>9</v>
      </c>
      <c r="E7" s="27" t="s">
        <v>10</v>
      </c>
      <c r="F7" s="27" t="s">
        <v>6</v>
      </c>
      <c r="G7" s="27" t="s">
        <v>8</v>
      </c>
      <c r="H7" s="27" t="s">
        <v>10</v>
      </c>
      <c r="I7" s="27" t="s">
        <v>9</v>
      </c>
      <c r="J7" s="27" t="s">
        <v>10</v>
      </c>
      <c r="K7" s="175" t="s">
        <v>6</v>
      </c>
      <c r="L7" s="9"/>
    </row>
    <row r="8" spans="1:12" ht="15.95" customHeight="1">
      <c r="A8" s="16" t="s">
        <v>20</v>
      </c>
      <c r="B8" s="17">
        <v>15366</v>
      </c>
      <c r="C8" s="192">
        <v>0.49193238570879755</v>
      </c>
      <c r="D8" s="17">
        <v>15870</v>
      </c>
      <c r="E8" s="192">
        <v>0.50806761429120251</v>
      </c>
      <c r="F8" s="17">
        <v>31236</v>
      </c>
      <c r="G8" s="17">
        <f>'κατά επαρχία και φύλο το 2016'!G7</f>
        <v>13207</v>
      </c>
      <c r="H8" s="192">
        <f t="shared" ref="H8:H13" si="0">+G8/K8</f>
        <v>0.46966571834992887</v>
      </c>
      <c r="I8" s="17">
        <f>'κατά επαρχία και φύλο το 2016'!N7</f>
        <v>14913</v>
      </c>
      <c r="J8" s="192">
        <f t="shared" ref="J8:J13" si="1">+I8/K8</f>
        <v>0.53033428165007113</v>
      </c>
      <c r="K8" s="74">
        <f t="shared" ref="K8:K13" si="2">SUM(G8+I8)</f>
        <v>28120</v>
      </c>
      <c r="L8" s="15"/>
    </row>
    <row r="9" spans="1:12" ht="15.95" customHeight="1">
      <c r="A9" s="16" t="s">
        <v>21</v>
      </c>
      <c r="B9" s="17">
        <v>15297</v>
      </c>
      <c r="C9" s="192">
        <v>0.49504854368932039</v>
      </c>
      <c r="D9" s="17">
        <v>15603</v>
      </c>
      <c r="E9" s="192">
        <v>0.50495145631067961</v>
      </c>
      <c r="F9" s="17">
        <v>30900</v>
      </c>
      <c r="G9" s="17">
        <f>'κατά επαρχία και φύλο το 2016'!G8</f>
        <v>13149</v>
      </c>
      <c r="H9" s="192">
        <f t="shared" si="0"/>
        <v>0.46955683319644326</v>
      </c>
      <c r="I9" s="17">
        <f>'κατά επαρχία και φύλο το 2016'!N8</f>
        <v>14854</v>
      </c>
      <c r="J9" s="192">
        <f t="shared" si="1"/>
        <v>0.53044316680355674</v>
      </c>
      <c r="K9" s="74">
        <f t="shared" si="2"/>
        <v>28003</v>
      </c>
      <c r="L9" s="15"/>
    </row>
    <row r="10" spans="1:12" ht="15.95" customHeight="1">
      <c r="A10" s="16" t="s">
        <v>22</v>
      </c>
      <c r="B10" s="17">
        <v>15032</v>
      </c>
      <c r="C10" s="192">
        <v>0.49587649270963913</v>
      </c>
      <c r="D10" s="17">
        <v>15282</v>
      </c>
      <c r="E10" s="192">
        <v>0.50412350729036093</v>
      </c>
      <c r="F10" s="17">
        <v>30314</v>
      </c>
      <c r="G10" s="17">
        <f>'κατά επαρχία και φύλο το 2016'!G9</f>
        <v>11937</v>
      </c>
      <c r="H10" s="192">
        <f t="shared" si="0"/>
        <v>0.47112917867150805</v>
      </c>
      <c r="I10" s="17">
        <f>'κατά επαρχία και φύλο το 2016'!N9</f>
        <v>13400</v>
      </c>
      <c r="J10" s="192">
        <f t="shared" si="1"/>
        <v>0.52887082132849195</v>
      </c>
      <c r="K10" s="74">
        <f t="shared" si="2"/>
        <v>25337</v>
      </c>
      <c r="L10" s="15"/>
    </row>
    <row r="11" spans="1:12" ht="15.95" customHeight="1">
      <c r="A11" s="16" t="s">
        <v>23</v>
      </c>
      <c r="B11" s="17">
        <v>11681</v>
      </c>
      <c r="C11" s="192">
        <v>0.50813467896293718</v>
      </c>
      <c r="D11" s="17">
        <v>11307</v>
      </c>
      <c r="E11" s="192">
        <v>0.49186532103706282</v>
      </c>
      <c r="F11" s="17">
        <v>22988</v>
      </c>
      <c r="G11" s="17">
        <f>'κατά επαρχία και φύλο το 2016'!G10</f>
        <v>8886</v>
      </c>
      <c r="H11" s="192">
        <f t="shared" si="0"/>
        <v>0.47440072606908334</v>
      </c>
      <c r="I11" s="17">
        <f>'κατά επαρχία και φύλο το 2016'!N10</f>
        <v>9845</v>
      </c>
      <c r="J11" s="192">
        <f t="shared" si="1"/>
        <v>0.52559927393091666</v>
      </c>
      <c r="K11" s="74">
        <f t="shared" si="2"/>
        <v>18731</v>
      </c>
      <c r="L11" s="15"/>
    </row>
    <row r="12" spans="1:12" ht="15.95" customHeight="1">
      <c r="A12" s="16" t="s">
        <v>24</v>
      </c>
      <c r="B12" s="17">
        <v>8843</v>
      </c>
      <c r="C12" s="192">
        <v>0.50138912513466005</v>
      </c>
      <c r="D12" s="17">
        <v>8794</v>
      </c>
      <c r="E12" s="192">
        <v>0.49861087486533989</v>
      </c>
      <c r="F12" s="17">
        <v>17637</v>
      </c>
      <c r="G12" s="17">
        <f>'κατά επαρχία και φύλο το 2016'!G11</f>
        <v>6829</v>
      </c>
      <c r="H12" s="192">
        <f t="shared" si="0"/>
        <v>0.46361167684996607</v>
      </c>
      <c r="I12" s="17">
        <f>'κατά επαρχία και φύλο το 2016'!N11</f>
        <v>7901</v>
      </c>
      <c r="J12" s="192">
        <f t="shared" si="1"/>
        <v>0.53638832315003393</v>
      </c>
      <c r="K12" s="74">
        <f t="shared" si="2"/>
        <v>14730</v>
      </c>
      <c r="L12" s="15"/>
    </row>
    <row r="13" spans="1:12" ht="15.95" customHeight="1" thickBot="1">
      <c r="A13" s="80" t="s">
        <v>25</v>
      </c>
      <c r="B13" s="180">
        <v>8191</v>
      </c>
      <c r="C13" s="193">
        <v>0.4590853043380787</v>
      </c>
      <c r="D13" s="180">
        <v>9651</v>
      </c>
      <c r="E13" s="193">
        <v>0.5409146956619213</v>
      </c>
      <c r="F13" s="180">
        <v>17842</v>
      </c>
      <c r="G13" s="17">
        <f>'κατά επαρχία και φύλο το 2016'!G12</f>
        <v>5739</v>
      </c>
      <c r="H13" s="192">
        <f t="shared" si="0"/>
        <v>0.41104426299957025</v>
      </c>
      <c r="I13" s="17">
        <f>'κατά επαρχία και φύλο το 2016'!N12</f>
        <v>8223</v>
      </c>
      <c r="J13" s="192">
        <f t="shared" si="1"/>
        <v>0.58895573700042969</v>
      </c>
      <c r="K13" s="74">
        <f t="shared" si="2"/>
        <v>13962</v>
      </c>
      <c r="L13" s="15"/>
    </row>
    <row r="14" spans="1:12" ht="15.95" customHeight="1">
      <c r="A14" s="401" t="s">
        <v>49</v>
      </c>
      <c r="B14" s="294"/>
      <c r="C14" s="289"/>
      <c r="D14" s="289"/>
      <c r="E14" s="289"/>
      <c r="F14" s="289"/>
      <c r="G14" s="294"/>
      <c r="H14" s="289"/>
      <c r="I14" s="289"/>
      <c r="J14" s="289"/>
      <c r="K14" s="296"/>
      <c r="L14" s="9"/>
    </row>
    <row r="15" spans="1:12" ht="22.5" customHeight="1" thickBot="1">
      <c r="A15" s="402"/>
      <c r="B15" s="291">
        <v>12401.666666666666</v>
      </c>
      <c r="C15" s="299">
        <v>0.49305247255113738</v>
      </c>
      <c r="D15" s="291">
        <v>12751.166666666666</v>
      </c>
      <c r="E15" s="299">
        <v>0.50694752744886262</v>
      </c>
      <c r="F15" s="291">
        <v>25152.833333333332</v>
      </c>
      <c r="G15" s="291">
        <f>AVERAGE(G8:G13)</f>
        <v>9957.8333333333339</v>
      </c>
      <c r="H15" s="299">
        <f t="shared" ref="H15:H25" si="3">+G15/K15</f>
        <v>0.46357549094915546</v>
      </c>
      <c r="I15" s="291">
        <f>AVERAGE(I8:I13)</f>
        <v>11522.666666666666</v>
      </c>
      <c r="J15" s="299">
        <f t="shared" ref="J15:J23" si="4">+I15/K15</f>
        <v>0.53642450905084449</v>
      </c>
      <c r="K15" s="300">
        <f>AVERAGE(K8:K13)</f>
        <v>21480.5</v>
      </c>
      <c r="L15" s="15"/>
    </row>
    <row r="16" spans="1:12" ht="15.95" customHeight="1">
      <c r="A16" s="79" t="s">
        <v>26</v>
      </c>
      <c r="B16" s="13">
        <v>7749</v>
      </c>
      <c r="C16" s="12">
        <v>0.42453295348709802</v>
      </c>
      <c r="D16" s="13">
        <v>10504</v>
      </c>
      <c r="E16" s="12">
        <v>0.57546704651290204</v>
      </c>
      <c r="F16" s="13">
        <v>18253</v>
      </c>
      <c r="G16" s="13">
        <f>'κατά επαρχία και φύλο το 2016'!G15</f>
        <v>5655</v>
      </c>
      <c r="H16" s="12">
        <f t="shared" si="3"/>
        <v>0.37495027184723512</v>
      </c>
      <c r="I16" s="13">
        <f>'κατά επαρχία και φύλο το 2016'!N15</f>
        <v>9427</v>
      </c>
      <c r="J16" s="12">
        <f t="shared" si="4"/>
        <v>0.62504972815276494</v>
      </c>
      <c r="K16" s="14">
        <f t="shared" ref="K16:K21" si="5">SUM(G16+I16)</f>
        <v>15082</v>
      </c>
      <c r="L16" s="15"/>
    </row>
    <row r="17" spans="1:19" ht="15.95" customHeight="1">
      <c r="A17" s="16" t="s">
        <v>7</v>
      </c>
      <c r="B17" s="17">
        <v>7343</v>
      </c>
      <c r="C17" s="192">
        <v>0.41348048876625937</v>
      </c>
      <c r="D17" s="17">
        <v>10416</v>
      </c>
      <c r="E17" s="192">
        <v>0.58651951123374069</v>
      </c>
      <c r="F17" s="17">
        <v>17759</v>
      </c>
      <c r="G17" s="13">
        <f>'κατά επαρχία και φύλο το 2016'!G16</f>
        <v>5630</v>
      </c>
      <c r="H17" s="12">
        <f t="shared" si="3"/>
        <v>0.36513392567611391</v>
      </c>
      <c r="I17" s="13">
        <f>'κατά επαρχία και φύλο το 2016'!N16</f>
        <v>9789</v>
      </c>
      <c r="J17" s="12">
        <f t="shared" si="4"/>
        <v>0.63486607432388609</v>
      </c>
      <c r="K17" s="14">
        <f t="shared" si="5"/>
        <v>15419</v>
      </c>
      <c r="L17" s="15"/>
    </row>
    <row r="18" spans="1:19" ht="15.95" customHeight="1">
      <c r="A18" s="16" t="s">
        <v>27</v>
      </c>
      <c r="B18" s="17">
        <v>7144</v>
      </c>
      <c r="C18" s="192">
        <v>0.44284651624101168</v>
      </c>
      <c r="D18" s="17">
        <v>8988</v>
      </c>
      <c r="E18" s="192">
        <v>0.55715348375898832</v>
      </c>
      <c r="F18" s="17">
        <v>16132</v>
      </c>
      <c r="G18" s="13">
        <f>'κατά επαρχία και φύλο το 2016'!G17</f>
        <v>5528</v>
      </c>
      <c r="H18" s="12">
        <f t="shared" si="3"/>
        <v>0.40145243282498183</v>
      </c>
      <c r="I18" s="13">
        <f>'κατά επαρχία και φύλο το 2016'!N17</f>
        <v>8242</v>
      </c>
      <c r="J18" s="12">
        <f t="shared" si="4"/>
        <v>0.59854756717501811</v>
      </c>
      <c r="K18" s="14">
        <f t="shared" si="5"/>
        <v>13770</v>
      </c>
      <c r="L18" s="15"/>
    </row>
    <row r="19" spans="1:19" ht="15.95" customHeight="1">
      <c r="A19" s="16" t="s">
        <v>28</v>
      </c>
      <c r="B19" s="17">
        <v>6763</v>
      </c>
      <c r="C19" s="192">
        <v>0.47855929804698555</v>
      </c>
      <c r="D19" s="17">
        <v>7369</v>
      </c>
      <c r="E19" s="192">
        <v>0.5214407019530144</v>
      </c>
      <c r="F19" s="17">
        <v>14132</v>
      </c>
      <c r="G19" s="13">
        <f>'κατά επαρχία και φύλο το 2016'!G18</f>
        <v>5404</v>
      </c>
      <c r="H19" s="12">
        <f t="shared" si="3"/>
        <v>0.43788996029495181</v>
      </c>
      <c r="I19" s="13">
        <f>'κατά επαρχία και φύλο το 2016'!N18</f>
        <v>6937</v>
      </c>
      <c r="J19" s="12">
        <f t="shared" si="4"/>
        <v>0.56211003970504825</v>
      </c>
      <c r="K19" s="14">
        <f t="shared" si="5"/>
        <v>12341</v>
      </c>
      <c r="L19" s="15"/>
    </row>
    <row r="20" spans="1:19" ht="15.95" customHeight="1">
      <c r="A20" s="16" t="s">
        <v>29</v>
      </c>
      <c r="B20" s="17">
        <v>10802</v>
      </c>
      <c r="C20" s="192">
        <v>0.46532265012492463</v>
      </c>
      <c r="D20" s="17">
        <v>12412</v>
      </c>
      <c r="E20" s="192">
        <v>0.53467734987507542</v>
      </c>
      <c r="F20" s="17">
        <v>23214</v>
      </c>
      <c r="G20" s="13">
        <f>'κατά επαρχία και φύλο το 2016'!G19</f>
        <v>9137</v>
      </c>
      <c r="H20" s="12">
        <f t="shared" si="3"/>
        <v>0.43526105182926828</v>
      </c>
      <c r="I20" s="13">
        <f>'κατά επαρχία και φύλο το 2016'!N19</f>
        <v>11855</v>
      </c>
      <c r="J20" s="12">
        <f t="shared" si="4"/>
        <v>0.56473894817073167</v>
      </c>
      <c r="K20" s="14">
        <f t="shared" si="5"/>
        <v>20992</v>
      </c>
      <c r="L20" s="15"/>
    </row>
    <row r="21" spans="1:19" ht="15.95" customHeight="1" thickBot="1">
      <c r="A21" s="80" t="s">
        <v>30</v>
      </c>
      <c r="B21" s="180">
        <v>12690</v>
      </c>
      <c r="C21" s="193">
        <v>0.47099432134506181</v>
      </c>
      <c r="D21" s="180">
        <v>14253</v>
      </c>
      <c r="E21" s="193">
        <v>0.52900567865493819</v>
      </c>
      <c r="F21" s="180">
        <v>26943</v>
      </c>
      <c r="G21" s="13">
        <f>'κατά επαρχία και φύλο το 2016'!G20</f>
        <v>11331</v>
      </c>
      <c r="H21" s="12">
        <f t="shared" si="3"/>
        <v>0.44685885554284815</v>
      </c>
      <c r="I21" s="13">
        <f>'κατά επαρχία και φύλο το 2016'!N20</f>
        <v>14026</v>
      </c>
      <c r="J21" s="12">
        <f t="shared" si="4"/>
        <v>0.5531411444571519</v>
      </c>
      <c r="K21" s="14">
        <f t="shared" si="5"/>
        <v>25357</v>
      </c>
      <c r="L21" s="15"/>
    </row>
    <row r="22" spans="1:19" ht="15.95" customHeight="1">
      <c r="A22" s="401" t="s">
        <v>47</v>
      </c>
      <c r="B22" s="289"/>
      <c r="C22" s="289"/>
      <c r="D22" s="289"/>
      <c r="E22" s="289"/>
      <c r="F22" s="289"/>
      <c r="G22" s="289"/>
      <c r="H22" s="324"/>
      <c r="I22" s="289"/>
      <c r="J22" s="324"/>
      <c r="K22" s="296"/>
      <c r="L22" s="11"/>
    </row>
    <row r="23" spans="1:19" ht="32.25" customHeight="1" thickBot="1">
      <c r="A23" s="402"/>
      <c r="B23" s="297">
        <v>8748.5</v>
      </c>
      <c r="C23" s="298">
        <v>0.4508257968101827</v>
      </c>
      <c r="D23" s="297">
        <v>10657</v>
      </c>
      <c r="E23" s="298">
        <v>0.54917420318981736</v>
      </c>
      <c r="F23" s="297">
        <v>19405.5</v>
      </c>
      <c r="G23" s="297">
        <f>AVERAGE(G16:G21)</f>
        <v>7114.166666666667</v>
      </c>
      <c r="H23" s="298">
        <f t="shared" si="3"/>
        <v>0.41457445052009984</v>
      </c>
      <c r="I23" s="297">
        <f>AVERAGE(I16:I21)</f>
        <v>10046</v>
      </c>
      <c r="J23" s="12">
        <f t="shared" si="4"/>
        <v>0.58542554947990011</v>
      </c>
      <c r="K23" s="331">
        <f>AVERAGE(K16:K21)</f>
        <v>17160.166666666668</v>
      </c>
      <c r="L23" s="15"/>
      <c r="O23" s="372"/>
      <c r="P23" s="372"/>
      <c r="Q23" s="372"/>
      <c r="R23" s="372"/>
      <c r="S23" s="372"/>
    </row>
    <row r="24" spans="1:19" ht="15.95" customHeight="1">
      <c r="A24" s="383" t="s">
        <v>48</v>
      </c>
      <c r="B24" s="289"/>
      <c r="C24" s="289"/>
      <c r="D24" s="289"/>
      <c r="E24" s="289"/>
      <c r="F24" s="289"/>
      <c r="G24" s="289"/>
      <c r="H24" s="323"/>
      <c r="I24" s="289"/>
      <c r="J24" s="289"/>
      <c r="K24" s="296"/>
      <c r="L24" s="11"/>
    </row>
    <row r="25" spans="1:19" ht="31.5" customHeight="1" thickBot="1">
      <c r="A25" s="384"/>
      <c r="B25" s="291">
        <v>10575.083333333334</v>
      </c>
      <c r="C25" s="299">
        <v>0.47466242752945575</v>
      </c>
      <c r="D25" s="291">
        <v>11704.083333333334</v>
      </c>
      <c r="E25" s="299">
        <v>0.52533757247054425</v>
      </c>
      <c r="F25" s="291">
        <v>22279.166666666668</v>
      </c>
      <c r="G25" s="291">
        <f>AVERAGE(G8:G13,G16:G21)</f>
        <v>8536</v>
      </c>
      <c r="H25" s="299">
        <f t="shared" si="3"/>
        <v>0.4418143234243716</v>
      </c>
      <c r="I25" s="291">
        <f>AVERAGE(I8:I13,I16:I21)</f>
        <v>10784.333333333334</v>
      </c>
      <c r="J25" s="299">
        <f>I25/K25</f>
        <v>0.55818567657562845</v>
      </c>
      <c r="K25" s="300">
        <f>AVERAGE(K8:K13,K16:K21)</f>
        <v>19320.333333333332</v>
      </c>
      <c r="L25" s="15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19" ht="14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>
      <c r="A28" s="1"/>
      <c r="B28" s="1"/>
      <c r="C28" s="1"/>
      <c r="D28" s="1"/>
      <c r="E28" s="1"/>
      <c r="F28" s="1"/>
      <c r="G28" s="1"/>
      <c r="H28" s="56"/>
      <c r="I28" s="57" t="s">
        <v>12</v>
      </c>
      <c r="J28" s="56"/>
      <c r="K28" s="1"/>
    </row>
    <row r="29" spans="1:19">
      <c r="A29" s="32">
        <f>'κατά επαρχία,  μήνα 2015,2016'!A29</f>
        <v>42786</v>
      </c>
      <c r="B29" s="1"/>
      <c r="C29" s="1"/>
      <c r="D29" s="1"/>
      <c r="E29" s="1"/>
      <c r="F29" s="1"/>
      <c r="G29" s="1"/>
      <c r="H29" s="399" t="s">
        <v>11</v>
      </c>
      <c r="I29" s="399"/>
      <c r="J29" s="399"/>
      <c r="K29" s="399"/>
    </row>
    <row r="30" spans="1:19">
      <c r="A30" s="4"/>
      <c r="B30" s="1"/>
      <c r="C30" s="1"/>
      <c r="D30" s="1"/>
      <c r="E30" s="1"/>
      <c r="F30" s="4"/>
      <c r="G30" s="4"/>
      <c r="H30" s="1"/>
      <c r="I30" s="25"/>
      <c r="J30" s="1"/>
      <c r="K30" s="1"/>
    </row>
    <row r="31" spans="1:19">
      <c r="A31" s="24"/>
      <c r="B31" s="1"/>
      <c r="C31" s="1"/>
      <c r="D31" s="1"/>
      <c r="E31" s="1"/>
      <c r="F31" s="1"/>
      <c r="G31" s="1"/>
      <c r="H31" s="25"/>
      <c r="I31" s="25"/>
      <c r="J31" s="4"/>
      <c r="K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">
    <mergeCell ref="H29:K29"/>
    <mergeCell ref="A2:K2"/>
    <mergeCell ref="A3:K3"/>
    <mergeCell ref="A14:A15"/>
    <mergeCell ref="A22:A23"/>
    <mergeCell ref="A24:A25"/>
    <mergeCell ref="A5:A7"/>
    <mergeCell ref="B5:G6"/>
    <mergeCell ref="H5:K6"/>
  </mergeCells>
  <phoneticPr fontId="0" type="noConversion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AB19" sqref="AB19"/>
    </sheetView>
  </sheetViews>
  <sheetFormatPr defaultRowHeight="12.75"/>
  <cols>
    <col min="1" max="1" width="16.42578125" customWidth="1"/>
    <col min="2" max="2" width="5" bestFit="1" customWidth="1"/>
    <col min="3" max="9" width="6" bestFit="1" customWidth="1"/>
    <col min="10" max="10" width="6.7109375" bestFit="1" customWidth="1"/>
    <col min="11" max="20" width="6" bestFit="1" customWidth="1"/>
    <col min="21" max="22" width="6" customWidth="1"/>
    <col min="23" max="23" width="6" bestFit="1" customWidth="1"/>
    <col min="24" max="24" width="11.140625" bestFit="1" customWidth="1"/>
  </cols>
  <sheetData>
    <row r="1" spans="1:24" ht="12" customHeight="1"/>
    <row r="2" spans="1:24" ht="19.5" customHeight="1">
      <c r="A2" s="123" t="s">
        <v>101</v>
      </c>
    </row>
    <row r="3" spans="1:24" s="4" customFormat="1" ht="29.25" customHeight="1">
      <c r="A3" s="413" t="s">
        <v>127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</row>
    <row r="4" spans="1:24" ht="15.75" thickBot="1">
      <c r="A4" s="7"/>
      <c r="B4" s="7"/>
      <c r="C4" s="7"/>
      <c r="D4" s="7"/>
      <c r="E4" s="7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24" ht="25.5" customHeight="1">
      <c r="A5" s="194" t="s">
        <v>0</v>
      </c>
      <c r="B5" s="195">
        <v>1995</v>
      </c>
      <c r="C5" s="195">
        <v>1996</v>
      </c>
      <c r="D5" s="195">
        <v>1997</v>
      </c>
      <c r="E5" s="195">
        <v>1998</v>
      </c>
      <c r="F5" s="195">
        <v>1999</v>
      </c>
      <c r="G5" s="195">
        <v>2000</v>
      </c>
      <c r="H5" s="195">
        <v>2001</v>
      </c>
      <c r="I5" s="196">
        <v>2002</v>
      </c>
      <c r="J5" s="196">
        <v>2003</v>
      </c>
      <c r="K5" s="196">
        <v>2004</v>
      </c>
      <c r="L5" s="196">
        <v>2005</v>
      </c>
      <c r="M5" s="196">
        <v>2006</v>
      </c>
      <c r="N5" s="196">
        <v>2007</v>
      </c>
      <c r="O5" s="196">
        <v>2008</v>
      </c>
      <c r="P5" s="196">
        <v>2009</v>
      </c>
      <c r="Q5" s="196">
        <v>2010</v>
      </c>
      <c r="R5" s="196">
        <v>2011</v>
      </c>
      <c r="S5" s="196">
        <v>2012</v>
      </c>
      <c r="T5" s="196">
        <v>2013</v>
      </c>
      <c r="U5" s="196">
        <v>2014</v>
      </c>
      <c r="V5" s="196">
        <v>2015</v>
      </c>
      <c r="W5" s="197">
        <v>2016</v>
      </c>
      <c r="X5" s="198" t="s">
        <v>126</v>
      </c>
    </row>
    <row r="6" spans="1:24" ht="18" customHeight="1">
      <c r="A6" s="16" t="s">
        <v>20</v>
      </c>
      <c r="B6" s="53">
        <v>9930</v>
      </c>
      <c r="C6" s="53">
        <v>11018</v>
      </c>
      <c r="D6" s="53">
        <v>13246</v>
      </c>
      <c r="E6" s="53">
        <v>11830</v>
      </c>
      <c r="F6" s="53">
        <v>14649</v>
      </c>
      <c r="G6" s="53">
        <v>14167</v>
      </c>
      <c r="H6" s="53">
        <f>15282-717</f>
        <v>14565</v>
      </c>
      <c r="I6" s="53">
        <v>14545</v>
      </c>
      <c r="J6" s="199">
        <v>15305</v>
      </c>
      <c r="K6" s="199">
        <v>15193</v>
      </c>
      <c r="L6" s="42">
        <v>18220</v>
      </c>
      <c r="M6" s="42">
        <v>18391</v>
      </c>
      <c r="N6" s="42">
        <v>18001</v>
      </c>
      <c r="O6" s="42">
        <v>16578</v>
      </c>
      <c r="P6" s="42">
        <v>18238</v>
      </c>
      <c r="Q6" s="42">
        <v>24817</v>
      </c>
      <c r="R6" s="42">
        <v>26664</v>
      </c>
      <c r="S6" s="42">
        <v>32281</v>
      </c>
      <c r="T6" s="42">
        <v>36466</v>
      </c>
      <c r="U6" s="42">
        <v>38333</v>
      </c>
      <c r="V6" s="42">
        <v>31236</v>
      </c>
      <c r="W6" s="42">
        <f>'κατά φύλο, μήνα 2015,2016'!K8</f>
        <v>28120</v>
      </c>
      <c r="X6" s="200">
        <f t="shared" ref="X6:X12" si="0">W6/V6-1</f>
        <v>-9.9756690997566899E-2</v>
      </c>
    </row>
    <row r="7" spans="1:24" ht="18" customHeight="1">
      <c r="A7" s="16" t="s">
        <v>21</v>
      </c>
      <c r="B7" s="53">
        <v>9756</v>
      </c>
      <c r="C7" s="53">
        <v>11053</v>
      </c>
      <c r="D7" s="53">
        <v>12655</v>
      </c>
      <c r="E7" s="53">
        <v>12110</v>
      </c>
      <c r="F7" s="53">
        <v>14815</v>
      </c>
      <c r="G7" s="53">
        <f>15542-1303</f>
        <v>14239</v>
      </c>
      <c r="H7" s="53">
        <v>14236</v>
      </c>
      <c r="I7" s="53">
        <v>14539</v>
      </c>
      <c r="J7" s="53">
        <v>15608</v>
      </c>
      <c r="K7" s="53">
        <v>15554</v>
      </c>
      <c r="L7" s="42">
        <v>17868</v>
      </c>
      <c r="M7" s="42">
        <v>17832</v>
      </c>
      <c r="N7" s="42">
        <v>17372</v>
      </c>
      <c r="O7" s="42">
        <v>15781</v>
      </c>
      <c r="P7" s="42">
        <v>18809</v>
      </c>
      <c r="Q7" s="42">
        <v>24511</v>
      </c>
      <c r="R7" s="42">
        <v>26506</v>
      </c>
      <c r="S7" s="42">
        <v>32291</v>
      </c>
      <c r="T7" s="86">
        <v>36211</v>
      </c>
      <c r="U7" s="86">
        <v>36901</v>
      </c>
      <c r="V7" s="86">
        <v>30900</v>
      </c>
      <c r="W7" s="42">
        <f>'κατά φύλο, μήνα 2015,2016'!K9</f>
        <v>28003</v>
      </c>
      <c r="X7" s="200">
        <f t="shared" si="0"/>
        <v>-9.3754045307443357E-2</v>
      </c>
    </row>
    <row r="8" spans="1:24" ht="18" customHeight="1">
      <c r="A8" s="16" t="s">
        <v>22</v>
      </c>
      <c r="B8" s="53">
        <v>8180</v>
      </c>
      <c r="C8" s="53">
        <v>9737</v>
      </c>
      <c r="D8" s="53">
        <v>11429</v>
      </c>
      <c r="E8" s="53">
        <v>12131</v>
      </c>
      <c r="F8" s="53">
        <v>14042</v>
      </c>
      <c r="G8" s="53">
        <v>13613</v>
      </c>
      <c r="H8" s="53">
        <f>13932-661</f>
        <v>13271</v>
      </c>
      <c r="I8" s="53">
        <v>13023</v>
      </c>
      <c r="J8" s="53">
        <v>14691</v>
      </c>
      <c r="K8" s="53">
        <v>14131</v>
      </c>
      <c r="L8" s="42">
        <v>16725</v>
      </c>
      <c r="M8" s="42">
        <v>16958</v>
      </c>
      <c r="N8" s="42">
        <v>16224</v>
      </c>
      <c r="O8" s="42">
        <v>14766</v>
      </c>
      <c r="P8" s="42">
        <v>18544</v>
      </c>
      <c r="Q8" s="42">
        <v>24127</v>
      </c>
      <c r="R8" s="42">
        <v>25390</v>
      </c>
      <c r="S8" s="86">
        <v>31796</v>
      </c>
      <c r="T8" s="86">
        <v>35234</v>
      </c>
      <c r="U8" s="86">
        <v>35016</v>
      </c>
      <c r="V8" s="86">
        <v>30314</v>
      </c>
      <c r="W8" s="42">
        <f>'κατά φύλο, μήνα 2015,2016'!K10</f>
        <v>25337</v>
      </c>
      <c r="X8" s="200">
        <f t="shared" si="0"/>
        <v>-0.16418156627300917</v>
      </c>
    </row>
    <row r="9" spans="1:24" ht="18" customHeight="1">
      <c r="A9" s="16" t="s">
        <v>23</v>
      </c>
      <c r="B9" s="53">
        <v>4784</v>
      </c>
      <c r="C9" s="53">
        <v>6373</v>
      </c>
      <c r="D9" s="53">
        <v>7704</v>
      </c>
      <c r="E9" s="53">
        <v>7688</v>
      </c>
      <c r="F9" s="53">
        <v>8442</v>
      </c>
      <c r="G9" s="53">
        <f>9893-687</f>
        <v>9206</v>
      </c>
      <c r="H9" s="53">
        <f>9015-407</f>
        <v>8608</v>
      </c>
      <c r="I9" s="53">
        <v>7645</v>
      </c>
      <c r="J9" s="54" t="s">
        <v>19</v>
      </c>
      <c r="K9" s="53">
        <v>8906</v>
      </c>
      <c r="L9" s="42">
        <v>11089</v>
      </c>
      <c r="M9" s="42">
        <v>12239</v>
      </c>
      <c r="N9" s="42">
        <v>11566</v>
      </c>
      <c r="O9" s="42">
        <v>10318</v>
      </c>
      <c r="P9" s="42">
        <v>14862</v>
      </c>
      <c r="Q9" s="42">
        <v>18931</v>
      </c>
      <c r="R9" s="42">
        <v>21153</v>
      </c>
      <c r="S9" s="42">
        <v>27901</v>
      </c>
      <c r="T9" s="86">
        <v>31887</v>
      </c>
      <c r="U9" s="86">
        <v>28218</v>
      </c>
      <c r="V9" s="86">
        <v>22988</v>
      </c>
      <c r="W9" s="42">
        <f>'κατά φύλο, μήνα 2015,2016'!K11</f>
        <v>18731</v>
      </c>
      <c r="X9" s="200">
        <f t="shared" si="0"/>
        <v>-0.18518357403862884</v>
      </c>
    </row>
    <row r="10" spans="1:24" ht="18" customHeight="1">
      <c r="A10" s="16" t="s">
        <v>24</v>
      </c>
      <c r="B10" s="53">
        <v>4863</v>
      </c>
      <c r="C10" s="53">
        <v>6134</v>
      </c>
      <c r="D10" s="53">
        <v>7510</v>
      </c>
      <c r="E10" s="53">
        <v>7129</v>
      </c>
      <c r="F10" s="53">
        <v>7827</v>
      </c>
      <c r="G10" s="53">
        <v>8703</v>
      </c>
      <c r="H10" s="53">
        <f>8652-291</f>
        <v>8361</v>
      </c>
      <c r="I10" s="53">
        <v>6862</v>
      </c>
      <c r="J10" s="53">
        <v>8573</v>
      </c>
      <c r="K10" s="53">
        <v>7739</v>
      </c>
      <c r="L10" s="42">
        <v>10521</v>
      </c>
      <c r="M10" s="42">
        <v>10922</v>
      </c>
      <c r="N10" s="42">
        <v>9409</v>
      </c>
      <c r="O10" s="42">
        <v>8802</v>
      </c>
      <c r="P10" s="42">
        <v>13253</v>
      </c>
      <c r="Q10" s="42">
        <v>16873</v>
      </c>
      <c r="R10" s="42">
        <v>18627</v>
      </c>
      <c r="S10" s="42">
        <v>24512</v>
      </c>
      <c r="T10" s="86">
        <v>27981</v>
      </c>
      <c r="U10" s="86">
        <v>23335</v>
      </c>
      <c r="V10" s="86">
        <v>17637</v>
      </c>
      <c r="W10" s="42">
        <f>'κατά φύλο, μήνα 2015,2016'!K12</f>
        <v>14730</v>
      </c>
      <c r="X10" s="200">
        <f t="shared" si="0"/>
        <v>-0.1648239496513012</v>
      </c>
    </row>
    <row r="11" spans="1:24" ht="18" customHeight="1" thickBot="1">
      <c r="A11" s="80" t="s">
        <v>25</v>
      </c>
      <c r="B11" s="117">
        <v>5189</v>
      </c>
      <c r="C11" s="117">
        <v>6841</v>
      </c>
      <c r="D11" s="117">
        <v>7867</v>
      </c>
      <c r="E11" s="117">
        <v>7712</v>
      </c>
      <c r="F11" s="117">
        <v>8201</v>
      </c>
      <c r="G11" s="117">
        <v>8720</v>
      </c>
      <c r="H11" s="117">
        <f>8952-233</f>
        <v>8719</v>
      </c>
      <c r="I11" s="117">
        <v>7303</v>
      </c>
      <c r="J11" s="117">
        <v>8243</v>
      </c>
      <c r="K11" s="117">
        <v>8029</v>
      </c>
      <c r="L11" s="118">
        <v>10762</v>
      </c>
      <c r="M11" s="118">
        <v>10769</v>
      </c>
      <c r="N11" s="118">
        <v>9820</v>
      </c>
      <c r="O11" s="118">
        <v>9044</v>
      </c>
      <c r="P11" s="118">
        <v>14394</v>
      </c>
      <c r="Q11" s="118">
        <v>17593</v>
      </c>
      <c r="R11" s="118">
        <v>19276</v>
      </c>
      <c r="S11" s="119">
        <v>24090</v>
      </c>
      <c r="T11" s="119">
        <v>28290</v>
      </c>
      <c r="U11" s="119">
        <v>22958</v>
      </c>
      <c r="V11" s="119">
        <v>17842</v>
      </c>
      <c r="W11" s="42">
        <f>'κατά φύλο, μήνα 2015,2016'!K13</f>
        <v>13962</v>
      </c>
      <c r="X11" s="200">
        <f t="shared" si="0"/>
        <v>-0.21746440981952697</v>
      </c>
    </row>
    <row r="12" spans="1:24" ht="38.25" customHeight="1" thickBot="1">
      <c r="A12" s="202" t="s">
        <v>45</v>
      </c>
      <c r="B12" s="121">
        <f t="shared" ref="B12:L12" si="1">AVERAGE(B6:B11)</f>
        <v>7117</v>
      </c>
      <c r="C12" s="121">
        <f t="shared" si="1"/>
        <v>8526</v>
      </c>
      <c r="D12" s="121">
        <f t="shared" si="1"/>
        <v>10068.5</v>
      </c>
      <c r="E12" s="121">
        <f t="shared" si="1"/>
        <v>9766.6666666666661</v>
      </c>
      <c r="F12" s="121">
        <f t="shared" si="1"/>
        <v>11329.333333333334</v>
      </c>
      <c r="G12" s="121">
        <f t="shared" si="1"/>
        <v>11441.333333333334</v>
      </c>
      <c r="H12" s="121">
        <f t="shared" si="1"/>
        <v>11293.333333333334</v>
      </c>
      <c r="I12" s="121">
        <f t="shared" si="1"/>
        <v>10652.833333333334</v>
      </c>
      <c r="J12" s="121">
        <f t="shared" si="1"/>
        <v>12484</v>
      </c>
      <c r="K12" s="121">
        <f t="shared" si="1"/>
        <v>11592</v>
      </c>
      <c r="L12" s="91">
        <f t="shared" si="1"/>
        <v>14197.5</v>
      </c>
      <c r="M12" s="91">
        <f t="shared" ref="M12:U12" si="2">AVERAGE(M6:M11)</f>
        <v>14518.5</v>
      </c>
      <c r="N12" s="91">
        <f t="shared" si="2"/>
        <v>13732</v>
      </c>
      <c r="O12" s="91">
        <f t="shared" si="2"/>
        <v>12548.166666666666</v>
      </c>
      <c r="P12" s="91">
        <f t="shared" si="2"/>
        <v>16350</v>
      </c>
      <c r="Q12" s="91">
        <f t="shared" si="2"/>
        <v>21142</v>
      </c>
      <c r="R12" s="91">
        <f t="shared" si="2"/>
        <v>22936</v>
      </c>
      <c r="S12" s="91">
        <f t="shared" si="2"/>
        <v>28811.833333333332</v>
      </c>
      <c r="T12" s="91">
        <f t="shared" si="2"/>
        <v>32678.166666666668</v>
      </c>
      <c r="U12" s="91">
        <f t="shared" si="2"/>
        <v>30793.5</v>
      </c>
      <c r="V12" s="91">
        <v>25152.833333333332</v>
      </c>
      <c r="W12" s="91">
        <f>AVERAGE(W6:W11)</f>
        <v>21480.5</v>
      </c>
      <c r="X12" s="203">
        <f t="shared" si="0"/>
        <v>-0.14600078188673238</v>
      </c>
    </row>
    <row r="13" spans="1:24" ht="18" customHeight="1">
      <c r="A13" s="79" t="s">
        <v>26</v>
      </c>
      <c r="B13" s="115">
        <v>6680</v>
      </c>
      <c r="C13" s="115">
        <v>7962</v>
      </c>
      <c r="D13" s="115">
        <v>8980</v>
      </c>
      <c r="E13" s="115">
        <v>8604</v>
      </c>
      <c r="F13" s="115">
        <v>9632</v>
      </c>
      <c r="G13" s="115">
        <f>10233-352</f>
        <v>9881</v>
      </c>
      <c r="H13" s="115">
        <f>296+9999-310</f>
        <v>9985</v>
      </c>
      <c r="I13" s="115">
        <v>8758</v>
      </c>
      <c r="J13" s="115">
        <v>9772</v>
      </c>
      <c r="K13" s="115">
        <v>9509</v>
      </c>
      <c r="L13" s="116">
        <v>11705</v>
      </c>
      <c r="M13" s="116">
        <v>11835</v>
      </c>
      <c r="N13" s="116">
        <v>10821</v>
      </c>
      <c r="O13" s="116">
        <v>10313</v>
      </c>
      <c r="P13" s="116">
        <v>15817</v>
      </c>
      <c r="Q13" s="116">
        <v>18443</v>
      </c>
      <c r="R13" s="116">
        <v>20024</v>
      </c>
      <c r="S13" s="116">
        <v>25399</v>
      </c>
      <c r="T13" s="120">
        <v>29528</v>
      </c>
      <c r="U13" s="120">
        <v>22590</v>
      </c>
      <c r="V13" s="120">
        <v>18253</v>
      </c>
      <c r="W13" s="116">
        <f>'κατά φύλο, μήνα 2015,2016'!K16</f>
        <v>15082</v>
      </c>
      <c r="X13" s="201">
        <f t="shared" ref="X13:X20" si="3">(W13/V13)-1</f>
        <v>-0.1737248671451268</v>
      </c>
    </row>
    <row r="14" spans="1:24" ht="18" customHeight="1">
      <c r="A14" s="16" t="s">
        <v>7</v>
      </c>
      <c r="B14" s="53">
        <v>6621</v>
      </c>
      <c r="C14" s="53">
        <v>7849</v>
      </c>
      <c r="D14" s="53">
        <v>8752</v>
      </c>
      <c r="E14" s="53">
        <v>8486</v>
      </c>
      <c r="F14" s="53">
        <v>9969</v>
      </c>
      <c r="G14" s="53">
        <v>10059</v>
      </c>
      <c r="H14" s="53">
        <f>10342-300</f>
        <v>10042</v>
      </c>
      <c r="I14" s="53">
        <v>8633</v>
      </c>
      <c r="J14" s="53">
        <v>9178</v>
      </c>
      <c r="K14" s="53">
        <v>9132</v>
      </c>
      <c r="L14" s="42">
        <v>11668</v>
      </c>
      <c r="M14" s="42">
        <v>11752</v>
      </c>
      <c r="N14" s="42">
        <v>10761</v>
      </c>
      <c r="O14" s="42">
        <v>10335</v>
      </c>
      <c r="P14" s="42">
        <v>15904</v>
      </c>
      <c r="Q14" s="42">
        <v>17925</v>
      </c>
      <c r="R14" s="42">
        <v>20501</v>
      </c>
      <c r="S14" s="42">
        <v>24866</v>
      </c>
      <c r="T14" s="86">
        <v>30345</v>
      </c>
      <c r="U14" s="86">
        <v>21432</v>
      </c>
      <c r="V14" s="120">
        <v>17759</v>
      </c>
      <c r="W14" s="116">
        <f>'κατά φύλο, μήνα 2015,2016'!K17</f>
        <v>15419</v>
      </c>
      <c r="X14" s="201">
        <f t="shared" si="3"/>
        <v>-0.1317641759108058</v>
      </c>
    </row>
    <row r="15" spans="1:24" ht="18" customHeight="1">
      <c r="A15" s="16" t="s">
        <v>27</v>
      </c>
      <c r="B15" s="53">
        <v>6233</v>
      </c>
      <c r="C15" s="53">
        <v>7440</v>
      </c>
      <c r="D15" s="53">
        <v>8025</v>
      </c>
      <c r="E15" s="53">
        <v>8409</v>
      </c>
      <c r="F15" s="53">
        <v>9418</v>
      </c>
      <c r="G15" s="53">
        <v>9135</v>
      </c>
      <c r="H15" s="53">
        <f>9554-295</f>
        <v>9259</v>
      </c>
      <c r="I15" s="53">
        <v>7951</v>
      </c>
      <c r="J15" s="53">
        <v>8299</v>
      </c>
      <c r="K15" s="53">
        <v>8609</v>
      </c>
      <c r="L15" s="42">
        <v>11135</v>
      </c>
      <c r="M15" s="42">
        <v>11508</v>
      </c>
      <c r="N15" s="42">
        <v>10617</v>
      </c>
      <c r="O15" s="42">
        <v>9697</v>
      </c>
      <c r="P15" s="42">
        <v>15896</v>
      </c>
      <c r="Q15" s="42">
        <v>17103</v>
      </c>
      <c r="R15" s="42">
        <v>20171</v>
      </c>
      <c r="S15" s="86">
        <v>24913</v>
      </c>
      <c r="T15" s="86">
        <v>29550</v>
      </c>
      <c r="U15" s="86">
        <v>21500</v>
      </c>
      <c r="V15" s="120">
        <v>16132</v>
      </c>
      <c r="W15" s="116">
        <f>'κατά φύλο, μήνα 2015,2016'!K18</f>
        <v>13770</v>
      </c>
      <c r="X15" s="201">
        <f t="shared" si="3"/>
        <v>-0.14641705926109594</v>
      </c>
    </row>
    <row r="16" spans="1:24" ht="18" customHeight="1">
      <c r="A16" s="16" t="s">
        <v>28</v>
      </c>
      <c r="B16" s="53">
        <v>6119</v>
      </c>
      <c r="C16" s="53">
        <v>7280</v>
      </c>
      <c r="D16" s="53">
        <v>7475</v>
      </c>
      <c r="E16" s="53">
        <v>7732</v>
      </c>
      <c r="F16" s="53">
        <v>7380</v>
      </c>
      <c r="G16" s="53">
        <f>8844-329</f>
        <v>8515</v>
      </c>
      <c r="H16" s="53">
        <f>9483-298</f>
        <v>9185</v>
      </c>
      <c r="I16" s="53">
        <v>7450</v>
      </c>
      <c r="J16" s="53">
        <v>7894</v>
      </c>
      <c r="K16" s="53">
        <v>8105</v>
      </c>
      <c r="L16" s="42">
        <v>9847</v>
      </c>
      <c r="M16" s="42">
        <v>9396</v>
      </c>
      <c r="N16" s="42">
        <v>8345</v>
      </c>
      <c r="O16" s="42">
        <v>8194</v>
      </c>
      <c r="P16" s="42">
        <v>14225</v>
      </c>
      <c r="Q16" s="42">
        <v>15052</v>
      </c>
      <c r="R16" s="42">
        <v>18540</v>
      </c>
      <c r="S16" s="42">
        <v>22957</v>
      </c>
      <c r="T16" s="86">
        <v>27093</v>
      </c>
      <c r="U16" s="86">
        <v>17937</v>
      </c>
      <c r="V16" s="120">
        <v>14132</v>
      </c>
      <c r="W16" s="116">
        <f>'κατά φύλο, μήνα 2015,2016'!K19</f>
        <v>12341</v>
      </c>
      <c r="X16" s="201">
        <f t="shared" si="3"/>
        <v>-0.12673365411831305</v>
      </c>
    </row>
    <row r="17" spans="1:24" ht="18" customHeight="1">
      <c r="A17" s="16" t="s">
        <v>29</v>
      </c>
      <c r="B17" s="53">
        <v>6416</v>
      </c>
      <c r="C17" s="53">
        <v>8908</v>
      </c>
      <c r="D17" s="53">
        <v>8589</v>
      </c>
      <c r="E17" s="53">
        <v>9186</v>
      </c>
      <c r="F17" s="53">
        <f>10259-1134</f>
        <v>9125</v>
      </c>
      <c r="G17" s="53">
        <v>9905</v>
      </c>
      <c r="H17" s="53">
        <v>12316</v>
      </c>
      <c r="I17" s="53">
        <v>10392</v>
      </c>
      <c r="J17" s="53">
        <v>10560</v>
      </c>
      <c r="K17" s="53">
        <v>10575</v>
      </c>
      <c r="L17" s="42">
        <v>13614</v>
      </c>
      <c r="M17" s="42">
        <v>12990</v>
      </c>
      <c r="N17" s="42">
        <v>12052</v>
      </c>
      <c r="O17" s="42">
        <v>11853</v>
      </c>
      <c r="P17" s="42">
        <v>19333</v>
      </c>
      <c r="Q17" s="42">
        <v>20238</v>
      </c>
      <c r="R17" s="42">
        <v>24943</v>
      </c>
      <c r="S17" s="42">
        <v>29393</v>
      </c>
      <c r="T17" s="86">
        <v>32643</v>
      </c>
      <c r="U17" s="86">
        <v>25814</v>
      </c>
      <c r="V17" s="120">
        <v>23214</v>
      </c>
      <c r="W17" s="116">
        <f>'κατά φύλο, μήνα 2015,2016'!K20</f>
        <v>20992</v>
      </c>
      <c r="X17" s="201">
        <f t="shared" si="3"/>
        <v>-9.5718101145860213E-2</v>
      </c>
    </row>
    <row r="18" spans="1:24" ht="18" customHeight="1" thickBot="1">
      <c r="A18" s="80" t="s">
        <v>30</v>
      </c>
      <c r="B18" s="117">
        <v>8226</v>
      </c>
      <c r="C18" s="117">
        <v>11214</v>
      </c>
      <c r="D18" s="117">
        <v>9915</v>
      </c>
      <c r="E18" s="117">
        <v>12477</v>
      </c>
      <c r="F18" s="117">
        <f>12981-1262</f>
        <v>11719</v>
      </c>
      <c r="G18" s="117">
        <v>13133</v>
      </c>
      <c r="H18" s="117">
        <f>16077-775</f>
        <v>15302</v>
      </c>
      <c r="I18" s="117">
        <v>13658</v>
      </c>
      <c r="J18" s="117">
        <v>13824</v>
      </c>
      <c r="K18" s="117">
        <v>14111</v>
      </c>
      <c r="L18" s="118">
        <v>16294</v>
      </c>
      <c r="M18" s="118">
        <v>15903</v>
      </c>
      <c r="N18" s="118">
        <v>15648</v>
      </c>
      <c r="O18" s="118">
        <v>15669</v>
      </c>
      <c r="P18" s="118">
        <v>22938</v>
      </c>
      <c r="Q18" s="118">
        <v>24154</v>
      </c>
      <c r="R18" s="119">
        <v>29034</v>
      </c>
      <c r="S18" s="118">
        <v>33374</v>
      </c>
      <c r="T18" s="119">
        <v>36716</v>
      </c>
      <c r="U18" s="119">
        <v>29637</v>
      </c>
      <c r="V18" s="330">
        <v>26943</v>
      </c>
      <c r="W18" s="116">
        <f>'κατά φύλο, μήνα 2015,2016'!K21</f>
        <v>25357</v>
      </c>
      <c r="X18" s="376">
        <f t="shared" si="3"/>
        <v>-5.8865011320194505E-2</v>
      </c>
    </row>
    <row r="19" spans="1:24" ht="39.75" customHeight="1" thickBot="1">
      <c r="A19" s="202" t="s">
        <v>43</v>
      </c>
      <c r="B19" s="121">
        <f t="shared" ref="B19:L19" si="4">AVERAGE(B13:B18)</f>
        <v>6715.833333333333</v>
      </c>
      <c r="C19" s="121">
        <f t="shared" si="4"/>
        <v>8442.1666666666661</v>
      </c>
      <c r="D19" s="121">
        <f t="shared" si="4"/>
        <v>8622.6666666666661</v>
      </c>
      <c r="E19" s="121">
        <f t="shared" si="4"/>
        <v>9149</v>
      </c>
      <c r="F19" s="121">
        <f t="shared" si="4"/>
        <v>9540.5</v>
      </c>
      <c r="G19" s="121">
        <f t="shared" si="4"/>
        <v>10104.666666666666</v>
      </c>
      <c r="H19" s="121">
        <f t="shared" si="4"/>
        <v>11014.833333333334</v>
      </c>
      <c r="I19" s="121">
        <f t="shared" si="4"/>
        <v>9473.6666666666661</v>
      </c>
      <c r="J19" s="121">
        <f t="shared" si="4"/>
        <v>9921.1666666666661</v>
      </c>
      <c r="K19" s="121">
        <f t="shared" si="4"/>
        <v>10006.833333333334</v>
      </c>
      <c r="L19" s="91">
        <f t="shared" si="4"/>
        <v>12377.166666666666</v>
      </c>
      <c r="M19" s="91">
        <f t="shared" ref="M19:S19" si="5">AVERAGE(M13:M18)</f>
        <v>12230.666666666666</v>
      </c>
      <c r="N19" s="91">
        <f t="shared" si="5"/>
        <v>11374</v>
      </c>
      <c r="O19" s="91">
        <f t="shared" si="5"/>
        <v>11010.166666666666</v>
      </c>
      <c r="P19" s="91">
        <f t="shared" si="5"/>
        <v>17352.166666666668</v>
      </c>
      <c r="Q19" s="91">
        <f t="shared" si="5"/>
        <v>18819.166666666668</v>
      </c>
      <c r="R19" s="91">
        <f t="shared" si="5"/>
        <v>22202.166666666668</v>
      </c>
      <c r="S19" s="91">
        <f t="shared" si="5"/>
        <v>26817</v>
      </c>
      <c r="T19" s="204">
        <f>AVERAGE(T13:T18)</f>
        <v>30979.166666666668</v>
      </c>
      <c r="U19" s="204">
        <f>AVERAGE(U13:U18)</f>
        <v>23151.666666666668</v>
      </c>
      <c r="V19" s="204">
        <v>19405.5</v>
      </c>
      <c r="W19" s="204">
        <f>AVERAGE(W13:W18)</f>
        <v>17160.166666666668</v>
      </c>
      <c r="X19" s="377">
        <f t="shared" si="3"/>
        <v>-0.11570602835965738</v>
      </c>
    </row>
    <row r="20" spans="1:24" ht="27.75" customHeight="1" thickBot="1">
      <c r="A20" s="202" t="s">
        <v>46</v>
      </c>
      <c r="B20" s="58">
        <f t="shared" ref="B20:L20" si="6">AVERAGE(B6:B11,B13:B18)</f>
        <v>6916.416666666667</v>
      </c>
      <c r="C20" s="58">
        <f t="shared" si="6"/>
        <v>8484.0833333333339</v>
      </c>
      <c r="D20" s="58">
        <f t="shared" si="6"/>
        <v>9345.5833333333339</v>
      </c>
      <c r="E20" s="58">
        <f t="shared" si="6"/>
        <v>9457.8333333333339</v>
      </c>
      <c r="F20" s="58">
        <f t="shared" si="6"/>
        <v>10434.916666666666</v>
      </c>
      <c r="G20" s="58">
        <f t="shared" si="6"/>
        <v>10773</v>
      </c>
      <c r="H20" s="58">
        <f t="shared" si="6"/>
        <v>11154.083333333334</v>
      </c>
      <c r="I20" s="58">
        <f t="shared" si="6"/>
        <v>10063.25</v>
      </c>
      <c r="J20" s="58">
        <f t="shared" si="6"/>
        <v>11086.09090909091</v>
      </c>
      <c r="K20" s="58">
        <f t="shared" si="6"/>
        <v>10799.416666666666</v>
      </c>
      <c r="L20" s="58">
        <f t="shared" si="6"/>
        <v>13287.333333333334</v>
      </c>
      <c r="M20" s="55">
        <f t="shared" ref="M20:S20" si="7">AVERAGE(M6:M11,M13:M18)</f>
        <v>13374.583333333334</v>
      </c>
      <c r="N20" s="55">
        <f t="shared" si="7"/>
        <v>12553</v>
      </c>
      <c r="O20" s="55">
        <f t="shared" si="7"/>
        <v>11779.166666666666</v>
      </c>
      <c r="P20" s="55">
        <f t="shared" si="7"/>
        <v>16851.083333333332</v>
      </c>
      <c r="Q20" s="55">
        <f t="shared" si="7"/>
        <v>19980.583333333332</v>
      </c>
      <c r="R20" s="55">
        <f t="shared" si="7"/>
        <v>22569.083333333332</v>
      </c>
      <c r="S20" s="55">
        <f t="shared" si="7"/>
        <v>27814.416666666668</v>
      </c>
      <c r="T20" s="114">
        <f>AVERAGE(T6:T11,T13:T18)</f>
        <v>31828.666666666668</v>
      </c>
      <c r="U20" s="114">
        <f>AVERAGE(U6:U11,U13:U18)</f>
        <v>26972.583333333332</v>
      </c>
      <c r="V20" s="114">
        <v>22279.166666666668</v>
      </c>
      <c r="W20" s="114">
        <f>AVERAGE(W6:W11,W13:W18)</f>
        <v>19320.333333333332</v>
      </c>
      <c r="X20" s="377">
        <f t="shared" si="3"/>
        <v>-0.13280718159715743</v>
      </c>
    </row>
    <row r="21" spans="1:24">
      <c r="A21" s="3"/>
    </row>
    <row r="23" spans="1:24">
      <c r="A23" s="39"/>
      <c r="Q23" s="415" t="s">
        <v>12</v>
      </c>
      <c r="R23" s="415"/>
      <c r="S23" s="415"/>
      <c r="T23" s="415"/>
      <c r="U23" s="415"/>
      <c r="V23" s="415"/>
      <c r="W23" s="415"/>
      <c r="X23" s="415"/>
    </row>
    <row r="24" spans="1:24" ht="14.25">
      <c r="A24" s="22"/>
      <c r="Q24" s="415" t="s">
        <v>11</v>
      </c>
      <c r="R24" s="415"/>
      <c r="S24" s="415"/>
      <c r="T24" s="415"/>
      <c r="U24" s="415"/>
      <c r="V24" s="415"/>
      <c r="W24" s="415"/>
      <c r="X24" s="415"/>
    </row>
    <row r="25" spans="1:24">
      <c r="A25" s="32">
        <f>'κατά φύλο, μήνα 2015,2016'!A29</f>
        <v>42786</v>
      </c>
      <c r="O25" s="31"/>
      <c r="P25" s="36"/>
      <c r="Q25" s="36"/>
      <c r="R25" s="36"/>
      <c r="S25" s="36"/>
    </row>
    <row r="26" spans="1:24">
      <c r="A26" s="39"/>
      <c r="O26" s="36"/>
      <c r="P26" s="36"/>
      <c r="Q26" s="36"/>
      <c r="R26" s="36"/>
      <c r="S26" s="34"/>
    </row>
  </sheetData>
  <mergeCells count="4">
    <mergeCell ref="F4:Q4"/>
    <mergeCell ref="A3:X3"/>
    <mergeCell ref="Q23:X23"/>
    <mergeCell ref="Q24:X24"/>
  </mergeCells>
  <phoneticPr fontId="0" type="noConversion"/>
  <pageMargins left="0" right="0" top="0.98425196850393704" bottom="0.78740157480314965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9"/>
  <sheetViews>
    <sheetView tabSelected="1" topLeftCell="A13" workbookViewId="0">
      <selection activeCell="AG19" sqref="AG19"/>
    </sheetView>
  </sheetViews>
  <sheetFormatPr defaultRowHeight="12.75"/>
  <cols>
    <col min="1" max="1" width="14.5703125" customWidth="1"/>
    <col min="2" max="2" width="13.7109375" hidden="1" customWidth="1"/>
    <col min="3" max="3" width="10.7109375" hidden="1" customWidth="1"/>
    <col min="4" max="4" width="11.42578125" hidden="1" customWidth="1"/>
    <col min="5" max="5" width="14.42578125" hidden="1" customWidth="1"/>
    <col min="6" max="6" width="10.7109375" hidden="1" customWidth="1"/>
    <col min="7" max="7" width="12" hidden="1" customWidth="1"/>
    <col min="8" max="8" width="10.28515625" hidden="1" customWidth="1"/>
    <col min="9" max="9" width="10.7109375" hidden="1" customWidth="1"/>
    <col min="10" max="10" width="12.85546875" hidden="1" customWidth="1"/>
    <col min="11" max="11" width="10.7109375" hidden="1" customWidth="1"/>
    <col min="12" max="12" width="10.140625" hidden="1" customWidth="1"/>
    <col min="13" max="13" width="12.140625" hidden="1" customWidth="1"/>
    <col min="14" max="14" width="10" hidden="1" customWidth="1"/>
    <col min="15" max="15" width="10.7109375" hidden="1" customWidth="1"/>
    <col min="16" max="16" width="12.7109375" hidden="1" customWidth="1"/>
    <col min="17" max="17" width="9.42578125" hidden="1" customWidth="1"/>
    <col min="18" max="18" width="11" hidden="1" customWidth="1"/>
    <col min="19" max="19" width="12.42578125" customWidth="1"/>
    <col min="21" max="21" width="9.5703125" customWidth="1"/>
    <col min="22" max="22" width="13" customWidth="1"/>
    <col min="23" max="23" width="9.42578125" customWidth="1"/>
    <col min="24" max="24" width="11" customWidth="1"/>
    <col min="25" max="26" width="9.140625" style="352"/>
    <col min="27" max="27" width="10.28515625" style="352" bestFit="1" customWidth="1"/>
    <col min="28" max="28" width="13.7109375" style="352" bestFit="1" customWidth="1"/>
    <col min="29" max="30" width="9.140625" style="352"/>
    <col min="33" max="33" width="11.28515625" bestFit="1" customWidth="1"/>
  </cols>
  <sheetData>
    <row r="1" spans="1:33">
      <c r="A1" s="123" t="s">
        <v>102</v>
      </c>
    </row>
    <row r="2" spans="1:33" ht="27.75" customHeight="1">
      <c r="A2" s="416" t="s">
        <v>122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3" ht="13.5" thickBot="1">
      <c r="A3" s="418"/>
      <c r="B3" s="418"/>
      <c r="C3" s="4"/>
      <c r="D3" s="4"/>
      <c r="E3" s="4"/>
      <c r="F3" s="4"/>
      <c r="G3" s="4"/>
    </row>
    <row r="4" spans="1:33" ht="19.5" customHeight="1">
      <c r="A4" s="429" t="s">
        <v>0</v>
      </c>
      <c r="B4" s="421">
        <v>2010</v>
      </c>
      <c r="C4" s="421"/>
      <c r="D4" s="421"/>
      <c r="E4" s="421"/>
      <c r="F4" s="421"/>
      <c r="G4" s="421">
        <v>2011</v>
      </c>
      <c r="H4" s="421"/>
      <c r="I4" s="421"/>
      <c r="J4" s="421"/>
      <c r="K4" s="421"/>
      <c r="L4" s="419" t="s">
        <v>60</v>
      </c>
      <c r="M4" s="421">
        <v>2012</v>
      </c>
      <c r="N4" s="421"/>
      <c r="O4" s="421"/>
      <c r="P4" s="421"/>
      <c r="Q4" s="421"/>
      <c r="R4" s="419" t="s">
        <v>94</v>
      </c>
      <c r="S4" s="421">
        <v>2015</v>
      </c>
      <c r="T4" s="421"/>
      <c r="U4" s="421"/>
      <c r="V4" s="421"/>
      <c r="W4" s="421"/>
      <c r="X4" s="419" t="s">
        <v>118</v>
      </c>
      <c r="Y4" s="426">
        <v>2016</v>
      </c>
      <c r="Z4" s="426"/>
      <c r="AA4" s="426"/>
      <c r="AB4" s="426"/>
      <c r="AC4" s="426"/>
      <c r="AD4" s="427" t="s">
        <v>135</v>
      </c>
    </row>
    <row r="5" spans="1:33" ht="37.5" customHeight="1">
      <c r="A5" s="430"/>
      <c r="B5" s="205" t="s">
        <v>36</v>
      </c>
      <c r="C5" s="206" t="s">
        <v>37</v>
      </c>
      <c r="D5" s="206" t="s">
        <v>40</v>
      </c>
      <c r="E5" s="207" t="s">
        <v>38</v>
      </c>
      <c r="F5" s="206" t="s">
        <v>39</v>
      </c>
      <c r="G5" s="205" t="s">
        <v>36</v>
      </c>
      <c r="H5" s="206" t="s">
        <v>37</v>
      </c>
      <c r="I5" s="206" t="s">
        <v>40</v>
      </c>
      <c r="J5" s="207" t="s">
        <v>38</v>
      </c>
      <c r="K5" s="206" t="s">
        <v>39</v>
      </c>
      <c r="L5" s="420"/>
      <c r="M5" s="205" t="s">
        <v>36</v>
      </c>
      <c r="N5" s="206" t="s">
        <v>37</v>
      </c>
      <c r="O5" s="206" t="s">
        <v>40</v>
      </c>
      <c r="P5" s="207" t="s">
        <v>38</v>
      </c>
      <c r="Q5" s="206" t="s">
        <v>39</v>
      </c>
      <c r="R5" s="420"/>
      <c r="S5" s="205" t="s">
        <v>36</v>
      </c>
      <c r="T5" s="206" t="s">
        <v>37</v>
      </c>
      <c r="U5" s="206" t="s">
        <v>40</v>
      </c>
      <c r="V5" s="207" t="s">
        <v>38</v>
      </c>
      <c r="W5" s="206" t="s">
        <v>39</v>
      </c>
      <c r="X5" s="420"/>
      <c r="Y5" s="205" t="s">
        <v>36</v>
      </c>
      <c r="Z5" s="206" t="s">
        <v>37</v>
      </c>
      <c r="AA5" s="206" t="s">
        <v>40</v>
      </c>
      <c r="AB5" s="207" t="s">
        <v>38</v>
      </c>
      <c r="AC5" s="206" t="s">
        <v>39</v>
      </c>
      <c r="AD5" s="428"/>
    </row>
    <row r="6" spans="1:33" ht="18" customHeight="1">
      <c r="A6" s="208" t="s">
        <v>20</v>
      </c>
      <c r="B6" s="42">
        <f>44+14709+37</f>
        <v>14790</v>
      </c>
      <c r="C6" s="42">
        <v>3443</v>
      </c>
      <c r="D6" s="42">
        <v>1510</v>
      </c>
      <c r="E6" s="42">
        <v>277</v>
      </c>
      <c r="F6" s="42">
        <f t="shared" ref="F6:F11" si="0">B6+C6+D6+E6</f>
        <v>20020</v>
      </c>
      <c r="G6" s="42">
        <v>14225</v>
      </c>
      <c r="H6" s="42">
        <v>4452</v>
      </c>
      <c r="I6" s="42">
        <v>1451</v>
      </c>
      <c r="J6" s="42">
        <v>223</v>
      </c>
      <c r="K6" s="42">
        <f>G6+H6+I6+J6</f>
        <v>20351</v>
      </c>
      <c r="L6" s="209">
        <f>(K6/F6)-1</f>
        <v>1.6533466533466434E-2</v>
      </c>
      <c r="M6" s="42">
        <v>17446</v>
      </c>
      <c r="N6" s="42">
        <v>6202</v>
      </c>
      <c r="O6" s="42">
        <v>669</v>
      </c>
      <c r="P6" s="42">
        <v>254</v>
      </c>
      <c r="Q6" s="42">
        <f t="shared" ref="Q6:Q18" si="1">M6+N6+O6+P6</f>
        <v>24571</v>
      </c>
      <c r="R6" s="209">
        <f t="shared" ref="R6:R20" si="2">(Q6/K6)-1</f>
        <v>0.20736081765023839</v>
      </c>
      <c r="S6" s="42">
        <v>16292</v>
      </c>
      <c r="T6" s="42">
        <v>5701</v>
      </c>
      <c r="U6" s="42">
        <v>801</v>
      </c>
      <c r="V6" s="42">
        <v>58</v>
      </c>
      <c r="W6" s="42">
        <v>22852</v>
      </c>
      <c r="X6" s="209">
        <v>-0.11601098603535642</v>
      </c>
      <c r="Y6" s="340">
        <v>15288</v>
      </c>
      <c r="Z6" s="340">
        <v>5538</v>
      </c>
      <c r="AA6" s="340">
        <v>862</v>
      </c>
      <c r="AB6" s="340">
        <v>22</v>
      </c>
      <c r="AC6" s="340">
        <f t="shared" ref="AC6:AC11" si="3">SUM(Y6:AB6)</f>
        <v>21710</v>
      </c>
      <c r="AD6" s="341">
        <f t="shared" ref="AD6:AD12" si="4">(AC6/W6)-1</f>
        <v>-4.9973744092420835E-2</v>
      </c>
      <c r="AG6" s="381"/>
    </row>
    <row r="7" spans="1:33" ht="18" customHeight="1">
      <c r="A7" s="208" t="s">
        <v>21</v>
      </c>
      <c r="B7" s="42">
        <f>45+13246+30</f>
        <v>13321</v>
      </c>
      <c r="C7" s="42">
        <v>3534</v>
      </c>
      <c r="D7" s="42">
        <v>1540</v>
      </c>
      <c r="E7" s="42">
        <v>258</v>
      </c>
      <c r="F7" s="42">
        <f t="shared" si="0"/>
        <v>18653</v>
      </c>
      <c r="G7" s="42">
        <v>13628</v>
      </c>
      <c r="H7" s="42">
        <v>4510</v>
      </c>
      <c r="I7" s="42">
        <v>1475</v>
      </c>
      <c r="J7" s="42">
        <v>222</v>
      </c>
      <c r="K7" s="42">
        <f t="shared" ref="K7:K18" si="5">G7+H7+I7+J7</f>
        <v>19835</v>
      </c>
      <c r="L7" s="209">
        <f t="shared" ref="L7:L20" si="6">(K7/F7)-1</f>
        <v>6.3367822870315837E-2</v>
      </c>
      <c r="M7" s="42">
        <v>16730</v>
      </c>
      <c r="N7" s="42">
        <v>6355</v>
      </c>
      <c r="O7" s="42">
        <v>682</v>
      </c>
      <c r="P7" s="42">
        <v>232</v>
      </c>
      <c r="Q7" s="42">
        <f t="shared" si="1"/>
        <v>23999</v>
      </c>
      <c r="R7" s="209">
        <f t="shared" si="2"/>
        <v>0.20993193849256375</v>
      </c>
      <c r="S7" s="42">
        <v>15606</v>
      </c>
      <c r="T7" s="42">
        <v>5656</v>
      </c>
      <c r="U7" s="42">
        <v>799</v>
      </c>
      <c r="V7" s="42">
        <v>54</v>
      </c>
      <c r="W7" s="42">
        <v>22115</v>
      </c>
      <c r="X7" s="209">
        <v>-9.8487627899392582E-2</v>
      </c>
      <c r="Y7" s="340">
        <v>14606</v>
      </c>
      <c r="Z7" s="340">
        <v>5509</v>
      </c>
      <c r="AA7" s="340">
        <v>849</v>
      </c>
      <c r="AB7" s="340">
        <v>21</v>
      </c>
      <c r="AC7" s="340">
        <f t="shared" si="3"/>
        <v>20985</v>
      </c>
      <c r="AD7" s="341">
        <f t="shared" si="4"/>
        <v>-5.10965408094054E-2</v>
      </c>
      <c r="AG7" s="381"/>
    </row>
    <row r="8" spans="1:33" ht="18" customHeight="1">
      <c r="A8" s="208" t="s">
        <v>22</v>
      </c>
      <c r="B8" s="42">
        <f>43+12995+32</f>
        <v>13070</v>
      </c>
      <c r="C8" s="42">
        <v>3352</v>
      </c>
      <c r="D8" s="42">
        <v>1436</v>
      </c>
      <c r="E8" s="42">
        <v>260</v>
      </c>
      <c r="F8" s="42">
        <f t="shared" si="0"/>
        <v>18118</v>
      </c>
      <c r="G8" s="42">
        <v>12896</v>
      </c>
      <c r="H8" s="42">
        <v>4268</v>
      </c>
      <c r="I8" s="42">
        <v>1420</v>
      </c>
      <c r="J8" s="42">
        <v>211</v>
      </c>
      <c r="K8" s="42">
        <f t="shared" si="5"/>
        <v>18795</v>
      </c>
      <c r="L8" s="209">
        <f t="shared" si="6"/>
        <v>3.7366155204768825E-2</v>
      </c>
      <c r="M8" s="42">
        <v>16306</v>
      </c>
      <c r="N8" s="42">
        <v>6145</v>
      </c>
      <c r="O8" s="42">
        <v>666</v>
      </c>
      <c r="P8" s="42">
        <v>248</v>
      </c>
      <c r="Q8" s="42">
        <f t="shared" si="1"/>
        <v>23365</v>
      </c>
      <c r="R8" s="209">
        <f t="shared" si="2"/>
        <v>0.24314977387603087</v>
      </c>
      <c r="S8" s="42">
        <v>15274</v>
      </c>
      <c r="T8" s="42">
        <v>5400</v>
      </c>
      <c r="U8" s="42">
        <v>778</v>
      </c>
      <c r="V8" s="42">
        <v>51</v>
      </c>
      <c r="W8" s="42">
        <v>21503</v>
      </c>
      <c r="X8" s="209">
        <v>-5.5062401124978066E-2</v>
      </c>
      <c r="Y8" s="340">
        <v>13187</v>
      </c>
      <c r="Z8" s="340">
        <v>4718</v>
      </c>
      <c r="AA8" s="340">
        <v>775</v>
      </c>
      <c r="AB8" s="340">
        <v>20</v>
      </c>
      <c r="AC8" s="340">
        <f t="shared" si="3"/>
        <v>18700</v>
      </c>
      <c r="AD8" s="341">
        <f t="shared" si="4"/>
        <v>-0.1303539041064038</v>
      </c>
      <c r="AG8" s="381"/>
    </row>
    <row r="9" spans="1:33" ht="18" customHeight="1">
      <c r="A9" s="208" t="s">
        <v>23</v>
      </c>
      <c r="B9" s="42">
        <f>31+9163+29</f>
        <v>9223</v>
      </c>
      <c r="C9" s="42">
        <v>2511</v>
      </c>
      <c r="D9" s="42">
        <v>1109</v>
      </c>
      <c r="E9" s="42">
        <v>242</v>
      </c>
      <c r="F9" s="42">
        <f t="shared" si="0"/>
        <v>13085</v>
      </c>
      <c r="G9" s="42">
        <v>10096</v>
      </c>
      <c r="H9" s="42">
        <v>3293</v>
      </c>
      <c r="I9" s="42">
        <v>1107</v>
      </c>
      <c r="J9" s="42">
        <v>197</v>
      </c>
      <c r="K9" s="42">
        <f t="shared" si="5"/>
        <v>14693</v>
      </c>
      <c r="L9" s="209">
        <f t="shared" si="6"/>
        <v>0.12288880397401614</v>
      </c>
      <c r="M9" s="42">
        <v>14506</v>
      </c>
      <c r="N9" s="42">
        <v>5269</v>
      </c>
      <c r="O9" s="42">
        <v>564</v>
      </c>
      <c r="P9" s="42">
        <v>235</v>
      </c>
      <c r="Q9" s="42">
        <f t="shared" si="1"/>
        <v>20574</v>
      </c>
      <c r="R9" s="209">
        <f t="shared" si="2"/>
        <v>0.40025862655686373</v>
      </c>
      <c r="S9" s="42">
        <v>10468</v>
      </c>
      <c r="T9" s="42">
        <v>3570</v>
      </c>
      <c r="U9" s="42">
        <v>568</v>
      </c>
      <c r="V9" s="42">
        <v>47</v>
      </c>
      <c r="W9" s="42">
        <v>14653</v>
      </c>
      <c r="X9" s="209">
        <v>-8.5844407012290236E-2</v>
      </c>
      <c r="Y9" s="340">
        <v>8930</v>
      </c>
      <c r="Z9" s="340">
        <v>3049</v>
      </c>
      <c r="AA9" s="340">
        <v>549</v>
      </c>
      <c r="AB9" s="340">
        <v>13</v>
      </c>
      <c r="AC9" s="340">
        <f t="shared" si="3"/>
        <v>12541</v>
      </c>
      <c r="AD9" s="341">
        <f t="shared" si="4"/>
        <v>-0.14413430696785645</v>
      </c>
      <c r="AG9" s="381"/>
    </row>
    <row r="10" spans="1:33" ht="18" customHeight="1">
      <c r="A10" s="208" t="s">
        <v>24</v>
      </c>
      <c r="B10" s="42">
        <f>29+7523+32</f>
        <v>7584</v>
      </c>
      <c r="C10" s="42">
        <v>2003</v>
      </c>
      <c r="D10" s="42">
        <v>942</v>
      </c>
      <c r="E10" s="42">
        <v>211</v>
      </c>
      <c r="F10" s="42">
        <f t="shared" si="0"/>
        <v>10740</v>
      </c>
      <c r="G10" s="42">
        <v>8441</v>
      </c>
      <c r="H10" s="42">
        <v>2526</v>
      </c>
      <c r="I10" s="42">
        <v>953</v>
      </c>
      <c r="J10" s="42">
        <v>189</v>
      </c>
      <c r="K10" s="42">
        <f t="shared" si="5"/>
        <v>12109</v>
      </c>
      <c r="L10" s="209">
        <f t="shared" si="6"/>
        <v>0.1274674115456238</v>
      </c>
      <c r="M10" s="42">
        <v>11333</v>
      </c>
      <c r="N10" s="42">
        <v>3837</v>
      </c>
      <c r="O10" s="42">
        <v>441</v>
      </c>
      <c r="P10" s="42">
        <v>230</v>
      </c>
      <c r="Q10" s="42">
        <f t="shared" si="1"/>
        <v>15841</v>
      </c>
      <c r="R10" s="209">
        <f t="shared" si="2"/>
        <v>0.30820051201585597</v>
      </c>
      <c r="S10" s="42">
        <v>7506</v>
      </c>
      <c r="T10" s="42">
        <v>2011</v>
      </c>
      <c r="U10" s="42">
        <v>371</v>
      </c>
      <c r="V10" s="42">
        <v>44</v>
      </c>
      <c r="W10" s="42">
        <v>9932</v>
      </c>
      <c r="X10" s="209">
        <v>-0.13265217011614705</v>
      </c>
      <c r="Y10" s="340">
        <v>6202</v>
      </c>
      <c r="Z10" s="340">
        <v>1850</v>
      </c>
      <c r="AA10" s="340">
        <v>401</v>
      </c>
      <c r="AB10" s="340">
        <v>15</v>
      </c>
      <c r="AC10" s="340">
        <f t="shared" si="3"/>
        <v>8468</v>
      </c>
      <c r="AD10" s="341">
        <f t="shared" si="4"/>
        <v>-0.1474023358840113</v>
      </c>
      <c r="AG10" s="381"/>
    </row>
    <row r="11" spans="1:33" ht="18" customHeight="1" thickBot="1">
      <c r="A11" s="213" t="s">
        <v>25</v>
      </c>
      <c r="B11" s="118">
        <f>26+8150+33</f>
        <v>8209</v>
      </c>
      <c r="C11" s="118">
        <v>1838</v>
      </c>
      <c r="D11" s="118">
        <v>869</v>
      </c>
      <c r="E11" s="118">
        <v>188</v>
      </c>
      <c r="F11" s="118">
        <f t="shared" si="0"/>
        <v>11104</v>
      </c>
      <c r="G11" s="118">
        <v>9388</v>
      </c>
      <c r="H11" s="118">
        <v>2158</v>
      </c>
      <c r="I11" s="118">
        <v>982</v>
      </c>
      <c r="J11" s="118">
        <v>191</v>
      </c>
      <c r="K11" s="118">
        <f t="shared" si="5"/>
        <v>12719</v>
      </c>
      <c r="L11" s="214">
        <f t="shared" si="6"/>
        <v>0.14544308357348701</v>
      </c>
      <c r="M11" s="118">
        <v>11649</v>
      </c>
      <c r="N11" s="118">
        <v>3218</v>
      </c>
      <c r="O11" s="118">
        <v>403</v>
      </c>
      <c r="P11" s="118">
        <v>218</v>
      </c>
      <c r="Q11" s="118">
        <f t="shared" si="1"/>
        <v>15488</v>
      </c>
      <c r="R11" s="214">
        <f t="shared" si="2"/>
        <v>0.21770579448069816</v>
      </c>
      <c r="S11" s="118">
        <v>8125</v>
      </c>
      <c r="T11" s="118">
        <v>1494</v>
      </c>
      <c r="U11" s="118">
        <v>319</v>
      </c>
      <c r="V11" s="118">
        <v>34</v>
      </c>
      <c r="W11" s="118">
        <v>9972</v>
      </c>
      <c r="X11" s="214">
        <v>-0.13437500000000002</v>
      </c>
      <c r="Y11" s="342">
        <v>6438</v>
      </c>
      <c r="Z11" s="342">
        <v>1208</v>
      </c>
      <c r="AA11" s="342">
        <v>309</v>
      </c>
      <c r="AB11" s="342">
        <v>13</v>
      </c>
      <c r="AC11" s="342">
        <f t="shared" si="3"/>
        <v>7968</v>
      </c>
      <c r="AD11" s="343">
        <f t="shared" si="4"/>
        <v>-0.2009626955475331</v>
      </c>
      <c r="AG11" s="381"/>
    </row>
    <row r="12" spans="1:33" ht="39" customHeight="1" thickBot="1">
      <c r="A12" s="217" t="s">
        <v>42</v>
      </c>
      <c r="B12" s="91">
        <f t="shared" ref="B12:J12" si="7">AVERAGE(B6:B11)</f>
        <v>11032.833333333334</v>
      </c>
      <c r="C12" s="91">
        <f t="shared" si="7"/>
        <v>2780.1666666666665</v>
      </c>
      <c r="D12" s="91">
        <f t="shared" si="7"/>
        <v>1234.3333333333333</v>
      </c>
      <c r="E12" s="91">
        <f t="shared" si="7"/>
        <v>239.33333333333334</v>
      </c>
      <c r="F12" s="91">
        <f t="shared" si="7"/>
        <v>15286.666666666666</v>
      </c>
      <c r="G12" s="91">
        <f t="shared" si="7"/>
        <v>11445.666666666666</v>
      </c>
      <c r="H12" s="91">
        <f t="shared" si="7"/>
        <v>3534.5</v>
      </c>
      <c r="I12" s="91">
        <f t="shared" si="7"/>
        <v>1231.3333333333333</v>
      </c>
      <c r="J12" s="91">
        <f t="shared" si="7"/>
        <v>205.5</v>
      </c>
      <c r="K12" s="91">
        <f>AVERAGE(K6:K11)</f>
        <v>16417</v>
      </c>
      <c r="L12" s="218">
        <f t="shared" si="6"/>
        <v>7.3942433493240367E-2</v>
      </c>
      <c r="M12" s="91">
        <f>AVERAGE(M6:M11)</f>
        <v>14661.666666666666</v>
      </c>
      <c r="N12" s="91">
        <f>AVERAGE(N6:N11)</f>
        <v>5171</v>
      </c>
      <c r="O12" s="91">
        <f>AVERAGE(O6:O11)</f>
        <v>570.83333333333337</v>
      </c>
      <c r="P12" s="91">
        <f>AVERAGE(P6:P11)</f>
        <v>236.16666666666666</v>
      </c>
      <c r="Q12" s="91">
        <f>AVERAGE(Q6:Q11)</f>
        <v>20639.666666666668</v>
      </c>
      <c r="R12" s="218">
        <f t="shared" si="2"/>
        <v>0.25721305151164442</v>
      </c>
      <c r="S12" s="91">
        <v>12211.833333333334</v>
      </c>
      <c r="T12" s="91">
        <v>3972</v>
      </c>
      <c r="U12" s="91">
        <v>606</v>
      </c>
      <c r="V12" s="91">
        <v>48</v>
      </c>
      <c r="W12" s="91">
        <v>16837.833333333332</v>
      </c>
      <c r="X12" s="218">
        <v>-9.9083272396511601E-2</v>
      </c>
      <c r="Y12" s="344">
        <f>AVERAGE(Y6:Y11)</f>
        <v>10775.166666666666</v>
      </c>
      <c r="Z12" s="344">
        <f t="shared" ref="Z12:AC12" si="8">AVERAGE(Z6:Z11)</f>
        <v>3645.3333333333335</v>
      </c>
      <c r="AA12" s="344">
        <f t="shared" si="8"/>
        <v>624.16666666666663</v>
      </c>
      <c r="AB12" s="344">
        <f t="shared" si="8"/>
        <v>17.333333333333332</v>
      </c>
      <c r="AC12" s="344">
        <f t="shared" si="8"/>
        <v>15062</v>
      </c>
      <c r="AD12" s="345">
        <f t="shared" si="4"/>
        <v>-0.10546685539509237</v>
      </c>
      <c r="AG12" s="381"/>
    </row>
    <row r="13" spans="1:33" ht="18" customHeight="1">
      <c r="A13" s="215" t="s">
        <v>26</v>
      </c>
      <c r="B13" s="116">
        <f>25+9671+40</f>
        <v>9736</v>
      </c>
      <c r="C13" s="116">
        <v>1885</v>
      </c>
      <c r="D13" s="116">
        <v>934</v>
      </c>
      <c r="E13" s="116">
        <v>194</v>
      </c>
      <c r="F13" s="116">
        <f t="shared" ref="F13:F18" si="9">B13+C13+D13+E13</f>
        <v>12749</v>
      </c>
      <c r="G13" s="116">
        <v>11219</v>
      </c>
      <c r="H13" s="116">
        <v>2316</v>
      </c>
      <c r="I13" s="116">
        <v>1018</v>
      </c>
      <c r="J13" s="116">
        <v>206</v>
      </c>
      <c r="K13" s="116">
        <f t="shared" si="5"/>
        <v>14759</v>
      </c>
      <c r="L13" s="216">
        <f t="shared" si="6"/>
        <v>0.15765942426857005</v>
      </c>
      <c r="M13" s="116">
        <v>13594</v>
      </c>
      <c r="N13" s="116">
        <v>3323</v>
      </c>
      <c r="O13" s="116">
        <v>424</v>
      </c>
      <c r="P13" s="116">
        <v>218</v>
      </c>
      <c r="Q13" s="116">
        <f t="shared" si="1"/>
        <v>17559</v>
      </c>
      <c r="R13" s="216">
        <f t="shared" si="2"/>
        <v>0.18971475032183749</v>
      </c>
      <c r="S13" s="116">
        <v>9970</v>
      </c>
      <c r="T13" s="116">
        <v>1590</v>
      </c>
      <c r="U13" s="116">
        <v>331</v>
      </c>
      <c r="V13" s="116">
        <v>31</v>
      </c>
      <c r="W13" s="116">
        <v>11922</v>
      </c>
      <c r="X13" s="216">
        <v>-8.0234531708069712E-2</v>
      </c>
      <c r="Y13" s="346">
        <v>8639</v>
      </c>
      <c r="Z13" s="346">
        <v>1351</v>
      </c>
      <c r="AA13" s="346">
        <v>330</v>
      </c>
      <c r="AB13" s="346">
        <v>19</v>
      </c>
      <c r="AC13" s="346">
        <f t="shared" ref="AC13:AC18" si="10">SUM(Y13:AB13)</f>
        <v>10339</v>
      </c>
      <c r="AD13" s="347">
        <f t="shared" ref="AD13:AD18" si="11">(AC13/W13)-1</f>
        <v>-0.13277973494380135</v>
      </c>
      <c r="AG13" s="381"/>
    </row>
    <row r="14" spans="1:33" ht="18" customHeight="1">
      <c r="A14" s="208" t="s">
        <v>7</v>
      </c>
      <c r="B14" s="42">
        <f>25+9478+31</f>
        <v>9534</v>
      </c>
      <c r="C14" s="42">
        <v>1732</v>
      </c>
      <c r="D14" s="42">
        <v>878</v>
      </c>
      <c r="E14" s="42">
        <v>176</v>
      </c>
      <c r="F14" s="42">
        <f t="shared" si="9"/>
        <v>12320</v>
      </c>
      <c r="G14" s="42">
        <v>11140</v>
      </c>
      <c r="H14" s="42">
        <v>2110</v>
      </c>
      <c r="I14" s="42">
        <v>942</v>
      </c>
      <c r="J14" s="42">
        <v>164</v>
      </c>
      <c r="K14" s="42">
        <f t="shared" si="5"/>
        <v>14356</v>
      </c>
      <c r="L14" s="209">
        <f t="shared" si="6"/>
        <v>0.16525974025974022</v>
      </c>
      <c r="M14" s="42">
        <v>13045</v>
      </c>
      <c r="N14" s="42">
        <v>2981</v>
      </c>
      <c r="O14" s="42">
        <v>375</v>
      </c>
      <c r="P14" s="42">
        <v>205</v>
      </c>
      <c r="Q14" s="42">
        <f t="shared" si="1"/>
        <v>16606</v>
      </c>
      <c r="R14" s="209">
        <f t="shared" si="2"/>
        <v>0.15672889384229594</v>
      </c>
      <c r="S14" s="42">
        <v>9719</v>
      </c>
      <c r="T14" s="42">
        <v>1448</v>
      </c>
      <c r="U14" s="42">
        <v>305</v>
      </c>
      <c r="V14" s="42">
        <v>25</v>
      </c>
      <c r="W14" s="42">
        <v>11497</v>
      </c>
      <c r="X14" s="209">
        <v>-7.1024563671622465E-2</v>
      </c>
      <c r="Y14" s="340">
        <v>9028</v>
      </c>
      <c r="Z14" s="340">
        <v>1352</v>
      </c>
      <c r="AA14" s="340">
        <v>309</v>
      </c>
      <c r="AB14" s="340">
        <v>18</v>
      </c>
      <c r="AC14" s="340">
        <f t="shared" si="10"/>
        <v>10707</v>
      </c>
      <c r="AD14" s="341">
        <f t="shared" si="11"/>
        <v>-6.8713577454988295E-2</v>
      </c>
      <c r="AG14" s="381"/>
    </row>
    <row r="15" spans="1:33" ht="18" customHeight="1">
      <c r="A15" s="208" t="s">
        <v>27</v>
      </c>
      <c r="B15" s="42">
        <f>31+8436+40</f>
        <v>8507</v>
      </c>
      <c r="C15" s="42">
        <v>1741</v>
      </c>
      <c r="D15" s="42">
        <v>889</v>
      </c>
      <c r="E15" s="42">
        <v>186</v>
      </c>
      <c r="F15" s="42">
        <f t="shared" si="9"/>
        <v>11323</v>
      </c>
      <c r="G15" s="42">
        <v>10381</v>
      </c>
      <c r="H15" s="42">
        <v>2228</v>
      </c>
      <c r="I15" s="42">
        <v>985</v>
      </c>
      <c r="J15" s="42">
        <v>186</v>
      </c>
      <c r="K15" s="42">
        <f t="shared" si="5"/>
        <v>13780</v>
      </c>
      <c r="L15" s="209">
        <f t="shared" si="6"/>
        <v>0.21699196326061987</v>
      </c>
      <c r="M15" s="42">
        <v>12640</v>
      </c>
      <c r="N15" s="42">
        <v>3155</v>
      </c>
      <c r="O15" s="42">
        <v>389</v>
      </c>
      <c r="P15" s="42">
        <v>210</v>
      </c>
      <c r="Q15" s="42">
        <f t="shared" si="1"/>
        <v>16394</v>
      </c>
      <c r="R15" s="209">
        <f t="shared" si="2"/>
        <v>0.18969521044992743</v>
      </c>
      <c r="S15" s="42">
        <v>8263</v>
      </c>
      <c r="T15" s="42">
        <v>1435</v>
      </c>
      <c r="U15" s="42">
        <v>275</v>
      </c>
      <c r="V15" s="42">
        <v>26</v>
      </c>
      <c r="W15" s="42">
        <v>9999</v>
      </c>
      <c r="X15" s="209">
        <v>-0.18574918566775245</v>
      </c>
      <c r="Y15" s="340">
        <v>7633</v>
      </c>
      <c r="Z15" s="340">
        <v>1364</v>
      </c>
      <c r="AA15" s="340">
        <v>293</v>
      </c>
      <c r="AB15" s="340">
        <v>19</v>
      </c>
      <c r="AC15" s="340">
        <f t="shared" si="10"/>
        <v>9309</v>
      </c>
      <c r="AD15" s="341">
        <f t="shared" si="11"/>
        <v>-6.9006900690068984E-2</v>
      </c>
      <c r="AG15" s="381"/>
    </row>
    <row r="16" spans="1:33" ht="18" customHeight="1">
      <c r="A16" s="208" t="s">
        <v>28</v>
      </c>
      <c r="B16" s="42">
        <f>33+6863+39</f>
        <v>6935</v>
      </c>
      <c r="C16" s="42">
        <v>1819</v>
      </c>
      <c r="D16" s="42">
        <v>856</v>
      </c>
      <c r="E16" s="42">
        <v>192</v>
      </c>
      <c r="F16" s="42">
        <f t="shared" si="9"/>
        <v>9802</v>
      </c>
      <c r="G16" s="42">
        <v>8721</v>
      </c>
      <c r="H16" s="42">
        <v>2360</v>
      </c>
      <c r="I16" s="42">
        <v>993</v>
      </c>
      <c r="J16" s="42">
        <v>185</v>
      </c>
      <c r="K16" s="42">
        <f t="shared" si="5"/>
        <v>12259</v>
      </c>
      <c r="L16" s="209">
        <f t="shared" si="6"/>
        <v>0.25066312997347473</v>
      </c>
      <c r="M16" s="42">
        <v>10491</v>
      </c>
      <c r="N16" s="42">
        <v>3291</v>
      </c>
      <c r="O16" s="42">
        <v>392</v>
      </c>
      <c r="P16" s="42">
        <v>194</v>
      </c>
      <c r="Q16" s="42">
        <f t="shared" si="1"/>
        <v>14368</v>
      </c>
      <c r="R16" s="209">
        <f t="shared" si="2"/>
        <v>0.172036870870381</v>
      </c>
      <c r="S16" s="42">
        <v>6494</v>
      </c>
      <c r="T16" s="42">
        <v>1498</v>
      </c>
      <c r="U16" s="42">
        <v>293</v>
      </c>
      <c r="V16" s="42">
        <v>23</v>
      </c>
      <c r="W16" s="42">
        <v>8308</v>
      </c>
      <c r="X16" s="209">
        <v>-0.17969984202211686</v>
      </c>
      <c r="Y16" s="340">
        <v>6373</v>
      </c>
      <c r="Z16" s="340">
        <v>1451</v>
      </c>
      <c r="AA16" s="340">
        <v>311</v>
      </c>
      <c r="AB16" s="340">
        <v>22</v>
      </c>
      <c r="AC16" s="340">
        <f t="shared" si="10"/>
        <v>8157</v>
      </c>
      <c r="AD16" s="341">
        <f t="shared" si="11"/>
        <v>-1.8175252768416028E-2</v>
      </c>
      <c r="AG16" s="381"/>
    </row>
    <row r="17" spans="1:38" ht="18" customHeight="1">
      <c r="A17" s="208" t="s">
        <v>29</v>
      </c>
      <c r="B17" s="42">
        <f>42+9563+40</f>
        <v>9645</v>
      </c>
      <c r="C17" s="42">
        <v>2936</v>
      </c>
      <c r="D17" s="42">
        <v>1220</v>
      </c>
      <c r="E17" s="42">
        <v>195</v>
      </c>
      <c r="F17" s="42">
        <f t="shared" si="9"/>
        <v>13996</v>
      </c>
      <c r="G17" s="42">
        <v>11869</v>
      </c>
      <c r="H17" s="42">
        <v>4096</v>
      </c>
      <c r="I17" s="42">
        <v>1348</v>
      </c>
      <c r="J17" s="42">
        <v>210</v>
      </c>
      <c r="K17" s="42">
        <f t="shared" si="5"/>
        <v>17523</v>
      </c>
      <c r="L17" s="209">
        <f t="shared" si="6"/>
        <v>0.25200057159188338</v>
      </c>
      <c r="M17" s="42">
        <v>13799</v>
      </c>
      <c r="N17" s="42">
        <v>5261</v>
      </c>
      <c r="O17" s="42">
        <v>501</v>
      </c>
      <c r="P17" s="42">
        <v>200</v>
      </c>
      <c r="Q17" s="42">
        <f t="shared" si="1"/>
        <v>19761</v>
      </c>
      <c r="R17" s="209">
        <f t="shared" si="2"/>
        <v>0.12771785653141587</v>
      </c>
      <c r="S17" s="42">
        <v>11639</v>
      </c>
      <c r="T17" s="42">
        <v>3987</v>
      </c>
      <c r="U17" s="42">
        <v>649</v>
      </c>
      <c r="V17" s="42">
        <v>27</v>
      </c>
      <c r="W17" s="42">
        <v>16302</v>
      </c>
      <c r="X17" s="209">
        <v>-7.0740466282847914E-2</v>
      </c>
      <c r="Y17" s="340">
        <v>10708</v>
      </c>
      <c r="Z17" s="340">
        <v>3940</v>
      </c>
      <c r="AA17" s="340">
        <v>658</v>
      </c>
      <c r="AB17" s="340">
        <v>24</v>
      </c>
      <c r="AC17" s="340">
        <f t="shared" si="10"/>
        <v>15330</v>
      </c>
      <c r="AD17" s="341">
        <f t="shared" si="11"/>
        <v>-5.9624585940375452E-2</v>
      </c>
      <c r="AG17" s="381"/>
      <c r="AJ17" s="11"/>
      <c r="AK17" s="11"/>
      <c r="AL17" s="11"/>
    </row>
    <row r="18" spans="1:38" ht="18" customHeight="1" thickBot="1">
      <c r="A18" s="213" t="s">
        <v>30</v>
      </c>
      <c r="B18" s="118">
        <f>51+12662+37</f>
        <v>12750</v>
      </c>
      <c r="C18" s="118">
        <v>3727</v>
      </c>
      <c r="D18" s="118">
        <v>1441</v>
      </c>
      <c r="E18" s="118">
        <v>197</v>
      </c>
      <c r="F18" s="118">
        <f t="shared" si="9"/>
        <v>18115</v>
      </c>
      <c r="G18" s="118">
        <v>15176</v>
      </c>
      <c r="H18" s="118">
        <v>5046</v>
      </c>
      <c r="I18" s="118">
        <v>1588</v>
      </c>
      <c r="J18" s="118">
        <v>241</v>
      </c>
      <c r="K18" s="118">
        <f t="shared" si="5"/>
        <v>22051</v>
      </c>
      <c r="L18" s="214">
        <f t="shared" si="6"/>
        <v>0.21727849848192116</v>
      </c>
      <c r="M18" s="118">
        <v>16963</v>
      </c>
      <c r="N18" s="118">
        <v>6374</v>
      </c>
      <c r="O18" s="118">
        <v>637</v>
      </c>
      <c r="P18" s="118">
        <v>221</v>
      </c>
      <c r="Q18" s="118">
        <f t="shared" si="1"/>
        <v>24195</v>
      </c>
      <c r="R18" s="214">
        <f t="shared" si="2"/>
        <v>9.7229150605414816E-2</v>
      </c>
      <c r="S18" s="118">
        <v>14570</v>
      </c>
      <c r="T18" s="118">
        <v>5149</v>
      </c>
      <c r="U18" s="118">
        <v>799</v>
      </c>
      <c r="V18" s="118">
        <v>25</v>
      </c>
      <c r="W18" s="118">
        <v>20543</v>
      </c>
      <c r="X18" s="214">
        <v>-3.7122099835950273E-2</v>
      </c>
      <c r="Y18" s="342">
        <v>14059</v>
      </c>
      <c r="Z18" s="342">
        <v>5322</v>
      </c>
      <c r="AA18" s="342">
        <v>815</v>
      </c>
      <c r="AB18" s="342">
        <v>28</v>
      </c>
      <c r="AC18" s="342">
        <f t="shared" si="10"/>
        <v>20224</v>
      </c>
      <c r="AD18" s="343">
        <f t="shared" si="11"/>
        <v>-1.5528403835856519E-2</v>
      </c>
      <c r="AG18" s="382"/>
      <c r="AJ18" s="11"/>
      <c r="AK18" s="11"/>
      <c r="AL18" s="11"/>
    </row>
    <row r="19" spans="1:38" ht="48.75" thickBot="1">
      <c r="A19" s="217" t="s">
        <v>43</v>
      </c>
      <c r="B19" s="91">
        <f t="shared" ref="B19:K19" si="12">AVERAGE(B13:B18)</f>
        <v>9517.8333333333339</v>
      </c>
      <c r="C19" s="91">
        <f t="shared" si="12"/>
        <v>2306.6666666666665</v>
      </c>
      <c r="D19" s="91">
        <f t="shared" si="12"/>
        <v>1036.3333333333333</v>
      </c>
      <c r="E19" s="91">
        <f t="shared" si="12"/>
        <v>190</v>
      </c>
      <c r="F19" s="91">
        <f t="shared" si="12"/>
        <v>13050.833333333334</v>
      </c>
      <c r="G19" s="91">
        <f t="shared" si="12"/>
        <v>11417.666666666666</v>
      </c>
      <c r="H19" s="91">
        <f t="shared" si="12"/>
        <v>3026</v>
      </c>
      <c r="I19" s="91">
        <f t="shared" si="12"/>
        <v>1145.6666666666667</v>
      </c>
      <c r="J19" s="91">
        <f t="shared" si="12"/>
        <v>198.66666666666666</v>
      </c>
      <c r="K19" s="91">
        <f t="shared" si="12"/>
        <v>15788</v>
      </c>
      <c r="L19" s="219">
        <f t="shared" si="6"/>
        <v>0.2097311793627481</v>
      </c>
      <c r="M19" s="91">
        <f>AVERAGE(M13:M18)</f>
        <v>13422</v>
      </c>
      <c r="N19" s="91">
        <f>AVERAGE(N13:N18)</f>
        <v>4064.1666666666665</v>
      </c>
      <c r="O19" s="91">
        <f>AVERAGE(O13:O18)</f>
        <v>453</v>
      </c>
      <c r="P19" s="91">
        <f>AVERAGE(P13:P18)</f>
        <v>208</v>
      </c>
      <c r="Q19" s="91">
        <f>AVERAGE(Q13:Q18)</f>
        <v>18147.166666666668</v>
      </c>
      <c r="R19" s="219">
        <f t="shared" si="2"/>
        <v>0.14942783548686767</v>
      </c>
      <c r="S19" s="91">
        <v>10109.166666666666</v>
      </c>
      <c r="T19" s="91">
        <v>2517.8333333333335</v>
      </c>
      <c r="U19" s="91">
        <v>442</v>
      </c>
      <c r="V19" s="91">
        <v>26.166666666666668</v>
      </c>
      <c r="W19" s="91">
        <v>13095.166666666666</v>
      </c>
      <c r="X19" s="220">
        <v>-9.2964998152936906E-2</v>
      </c>
      <c r="Y19" s="344">
        <f>AVERAGE(Y13:Y18)</f>
        <v>9406.6666666666661</v>
      </c>
      <c r="Z19" s="344">
        <f t="shared" ref="Z19:AC19" si="13">AVERAGE(Z13:Z18)</f>
        <v>2463.3333333333335</v>
      </c>
      <c r="AA19" s="344">
        <f t="shared" si="13"/>
        <v>452.66666666666669</v>
      </c>
      <c r="AB19" s="344">
        <f t="shared" si="13"/>
        <v>21.666666666666668</v>
      </c>
      <c r="AC19" s="344">
        <f t="shared" si="13"/>
        <v>12344.333333333334</v>
      </c>
      <c r="AD19" s="345">
        <f t="shared" ref="AD19" si="14">(AC19/W19)-1</f>
        <v>-5.7336676381871121E-2</v>
      </c>
      <c r="AF19" s="372"/>
      <c r="AG19" s="381"/>
      <c r="AH19" s="372"/>
      <c r="AI19" s="372"/>
      <c r="AJ19" s="379"/>
      <c r="AK19" s="380"/>
      <c r="AL19" s="11"/>
    </row>
    <row r="20" spans="1:38" ht="48.75" thickBot="1">
      <c r="A20" s="217" t="s">
        <v>44</v>
      </c>
      <c r="B20" s="224">
        <f t="shared" ref="B20:K20" si="15">AVERAGE(B6:B11,B13:B18)</f>
        <v>10275.333333333334</v>
      </c>
      <c r="C20" s="224">
        <f t="shared" si="15"/>
        <v>2543.4166666666665</v>
      </c>
      <c r="D20" s="224">
        <f t="shared" si="15"/>
        <v>1135.3333333333333</v>
      </c>
      <c r="E20" s="224">
        <f t="shared" si="15"/>
        <v>214.66666666666666</v>
      </c>
      <c r="F20" s="224">
        <f t="shared" si="15"/>
        <v>14168.75</v>
      </c>
      <c r="G20" s="91">
        <f t="shared" si="15"/>
        <v>11431.666666666666</v>
      </c>
      <c r="H20" s="91">
        <f t="shared" si="15"/>
        <v>3280.25</v>
      </c>
      <c r="I20" s="91">
        <f t="shared" si="15"/>
        <v>1188.5</v>
      </c>
      <c r="J20" s="91">
        <f t="shared" si="15"/>
        <v>202.08333333333334</v>
      </c>
      <c r="K20" s="91">
        <f t="shared" si="15"/>
        <v>16102.5</v>
      </c>
      <c r="L20" s="219">
        <f t="shared" si="6"/>
        <v>0.13647992942214371</v>
      </c>
      <c r="M20" s="91">
        <f>AVERAGE(M6:M11,M13:M18)</f>
        <v>14041.833333333334</v>
      </c>
      <c r="N20" s="91">
        <f>AVERAGE(N6:N11,N13:N18)</f>
        <v>4617.583333333333</v>
      </c>
      <c r="O20" s="91">
        <f>AVERAGE(O6:O11,O13:O18)</f>
        <v>511.91666666666669</v>
      </c>
      <c r="P20" s="91">
        <f>AVERAGE(P6:P11,P13:P18)</f>
        <v>222.08333333333334</v>
      </c>
      <c r="Q20" s="91">
        <f>AVERAGE(Q6:Q11,Q13:Q18)</f>
        <v>19393.416666666668</v>
      </c>
      <c r="R20" s="219">
        <f t="shared" si="2"/>
        <v>0.20437302696268711</v>
      </c>
      <c r="S20" s="91">
        <v>11160.5</v>
      </c>
      <c r="T20" s="91">
        <v>3244.9166666666665</v>
      </c>
      <c r="U20" s="91">
        <v>524</v>
      </c>
      <c r="V20" s="91">
        <v>37.083333333333336</v>
      </c>
      <c r="W20" s="91">
        <v>14966.5</v>
      </c>
      <c r="X20" s="220">
        <v>-9.6416820116521307E-2</v>
      </c>
      <c r="Y20" s="344">
        <f>AVERAGE(Y12,Y19)</f>
        <v>10090.916666666666</v>
      </c>
      <c r="Z20" s="344">
        <f t="shared" ref="Z20:AC20" si="16">AVERAGE(Z12,Z19)</f>
        <v>3054.3333333333335</v>
      </c>
      <c r="AA20" s="344">
        <f t="shared" si="16"/>
        <v>538.41666666666663</v>
      </c>
      <c r="AB20" s="344">
        <f t="shared" si="16"/>
        <v>19.5</v>
      </c>
      <c r="AC20" s="344">
        <f t="shared" si="16"/>
        <v>13703.166666666668</v>
      </c>
      <c r="AD20" s="345">
        <f>AC20/W20-1</f>
        <v>-8.4410739540529356E-2</v>
      </c>
      <c r="AG20" s="381"/>
      <c r="AJ20" s="11"/>
      <c r="AK20" s="11"/>
      <c r="AL20" s="11"/>
    </row>
    <row r="21" spans="1:38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3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348"/>
      <c r="Z21" s="348"/>
      <c r="AA21" s="348"/>
      <c r="AB21" s="348"/>
      <c r="AC21" s="348"/>
      <c r="AD21" s="349"/>
    </row>
    <row r="22" spans="1:38">
      <c r="A22" s="210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2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350"/>
      <c r="Z22" s="350"/>
      <c r="AA22" s="350"/>
      <c r="AB22" s="350"/>
      <c r="AC22" s="350"/>
      <c r="AD22" s="351"/>
    </row>
    <row r="23" spans="1:38" ht="26.25" customHeight="1" thickBot="1">
      <c r="A23" s="423" t="s">
        <v>41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5"/>
    </row>
    <row r="26" spans="1:38">
      <c r="A26" s="35"/>
    </row>
    <row r="27" spans="1:38">
      <c r="A27" s="44" t="s">
        <v>134</v>
      </c>
      <c r="H27" s="31"/>
      <c r="I27" s="36"/>
      <c r="J27" s="36"/>
      <c r="K27" s="36"/>
      <c r="O27" s="31"/>
      <c r="P27" s="36"/>
      <c r="Q27" s="36"/>
      <c r="R27" s="36"/>
      <c r="S27" s="36"/>
      <c r="T27" s="36"/>
      <c r="U27" s="36"/>
      <c r="V27" s="36"/>
      <c r="W27" s="36"/>
      <c r="X27" s="36"/>
      <c r="AA27" s="361"/>
      <c r="AB27" s="422" t="s">
        <v>12</v>
      </c>
      <c r="AC27" s="422"/>
      <c r="AD27" s="378"/>
    </row>
    <row r="28" spans="1:38">
      <c r="A28" s="32">
        <f>'άνεργοι κατά μήνα 2007-2016'!A25</f>
        <v>42786</v>
      </c>
      <c r="H28" s="36"/>
      <c r="I28" s="36"/>
      <c r="J28" s="36"/>
      <c r="K28" s="36"/>
      <c r="O28" s="415"/>
      <c r="P28" s="415"/>
      <c r="Q28" s="415"/>
      <c r="R28" s="415"/>
      <c r="S28" s="168"/>
      <c r="T28" s="168"/>
      <c r="U28" s="168"/>
      <c r="V28" s="168"/>
      <c r="W28" s="168"/>
      <c r="X28" s="168"/>
      <c r="AA28" s="422" t="s">
        <v>11</v>
      </c>
      <c r="AB28" s="422"/>
      <c r="AC28" s="422"/>
      <c r="AD28" s="422"/>
    </row>
    <row r="29" spans="1:38">
      <c r="X29" t="s">
        <v>149</v>
      </c>
    </row>
  </sheetData>
  <mergeCells count="16">
    <mergeCell ref="O28:R28"/>
    <mergeCell ref="M4:Q4"/>
    <mergeCell ref="R4:R5"/>
    <mergeCell ref="AB27:AC27"/>
    <mergeCell ref="AA28:AD28"/>
    <mergeCell ref="A23:AD23"/>
    <mergeCell ref="Y4:AC4"/>
    <mergeCell ref="AD4:AD5"/>
    <mergeCell ref="X4:X5"/>
    <mergeCell ref="A4:A5"/>
    <mergeCell ref="A2:AD2"/>
    <mergeCell ref="A3:B3"/>
    <mergeCell ref="L4:L5"/>
    <mergeCell ref="B4:F4"/>
    <mergeCell ref="G4:K4"/>
    <mergeCell ref="S4:W4"/>
  </mergeCells>
  <pageMargins left="0" right="0" top="0.35433070866141736" bottom="0.15748031496062992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workbookViewId="0">
      <selection activeCell="AD22" sqref="AD22"/>
    </sheetView>
  </sheetViews>
  <sheetFormatPr defaultColWidth="17.7109375" defaultRowHeight="12.75"/>
  <cols>
    <col min="1" max="1" width="17.28515625" customWidth="1"/>
    <col min="2" max="2" width="9.5703125" hidden="1" customWidth="1"/>
    <col min="3" max="5" width="14.140625" hidden="1" customWidth="1"/>
    <col min="6" max="6" width="9.7109375" hidden="1" customWidth="1"/>
    <col min="7" max="7" width="14" hidden="1" customWidth="1"/>
    <col min="8" max="8" width="8.5703125" hidden="1" customWidth="1"/>
    <col min="9" max="9" width="14.5703125" hidden="1" customWidth="1"/>
    <col min="10" max="10" width="8.42578125" hidden="1" customWidth="1"/>
    <col min="11" max="11" width="14.85546875" hidden="1" customWidth="1"/>
    <col min="12" max="12" width="9.5703125" hidden="1" customWidth="1"/>
    <col min="13" max="13" width="8.28515625" hidden="1" customWidth="1"/>
    <col min="14" max="14" width="14.7109375" hidden="1" customWidth="1"/>
    <col min="15" max="15" width="9" hidden="1" customWidth="1"/>
    <col min="16" max="16" width="8.7109375" customWidth="1"/>
    <col min="17" max="17" width="14.7109375" customWidth="1"/>
    <col min="18" max="18" width="8.28515625" hidden="1" customWidth="1"/>
    <col min="19" max="19" width="8.85546875" customWidth="1"/>
    <col min="20" max="20" width="15.5703125" customWidth="1"/>
    <col min="21" max="21" width="8" customWidth="1"/>
    <col min="22" max="22" width="8.5703125" customWidth="1"/>
    <col min="23" max="23" width="15.7109375" customWidth="1"/>
    <col min="24" max="24" width="8.42578125" customWidth="1"/>
    <col min="25" max="25" width="8.5703125" customWidth="1"/>
    <col min="26" max="26" width="15.7109375" customWidth="1"/>
    <col min="27" max="27" width="8.42578125" customWidth="1"/>
    <col min="28" max="28" width="8.5703125" style="352" customWidth="1"/>
    <col min="29" max="29" width="15.7109375" customWidth="1"/>
    <col min="30" max="30" width="8.42578125" customWidth="1"/>
    <col min="31" max="31" width="8.5703125" style="352" customWidth="1"/>
    <col min="32" max="32" width="16.28515625" bestFit="1" customWidth="1"/>
    <col min="33" max="33" width="8.42578125" customWidth="1"/>
  </cols>
  <sheetData>
    <row r="1" spans="1:33">
      <c r="A1" s="123" t="s">
        <v>103</v>
      </c>
    </row>
    <row r="2" spans="1:33" ht="24" customHeight="1">
      <c r="A2" s="431" t="s">
        <v>131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</row>
    <row r="3" spans="1:33" ht="13.5" customHeight="1" thickBot="1"/>
    <row r="4" spans="1:33" ht="12.75" customHeight="1">
      <c r="A4" s="225"/>
      <c r="B4" s="435">
        <v>2005</v>
      </c>
      <c r="C4" s="435"/>
      <c r="D4" s="435">
        <v>2006</v>
      </c>
      <c r="E4" s="435"/>
      <c r="F4" s="435">
        <v>2007</v>
      </c>
      <c r="G4" s="435"/>
      <c r="H4" s="435">
        <v>2008</v>
      </c>
      <c r="I4" s="435"/>
      <c r="J4" s="435">
        <v>2009</v>
      </c>
      <c r="K4" s="435"/>
      <c r="L4" s="433" t="s">
        <v>33</v>
      </c>
      <c r="M4" s="435">
        <v>2010</v>
      </c>
      <c r="N4" s="435"/>
      <c r="O4" s="433" t="s">
        <v>34</v>
      </c>
      <c r="P4" s="435">
        <v>2011</v>
      </c>
      <c r="Q4" s="435"/>
      <c r="R4" s="433" t="s">
        <v>35</v>
      </c>
      <c r="S4" s="435">
        <v>2012</v>
      </c>
      <c r="T4" s="435"/>
      <c r="U4" s="433" t="s">
        <v>61</v>
      </c>
      <c r="V4" s="435">
        <v>2013</v>
      </c>
      <c r="W4" s="435"/>
      <c r="X4" s="433" t="s">
        <v>95</v>
      </c>
      <c r="Y4" s="435">
        <v>2014</v>
      </c>
      <c r="Z4" s="435"/>
      <c r="AA4" s="433" t="s">
        <v>117</v>
      </c>
      <c r="AB4" s="435">
        <v>2015</v>
      </c>
      <c r="AC4" s="435"/>
      <c r="AD4" s="439" t="s">
        <v>119</v>
      </c>
      <c r="AE4" s="435">
        <v>2016</v>
      </c>
      <c r="AF4" s="435"/>
      <c r="AG4" s="439" t="s">
        <v>123</v>
      </c>
    </row>
    <row r="5" spans="1:33" ht="12.75" customHeight="1">
      <c r="A5" s="226" t="s">
        <v>14</v>
      </c>
      <c r="B5" s="227" t="s">
        <v>15</v>
      </c>
      <c r="C5" s="227" t="s">
        <v>16</v>
      </c>
      <c r="D5" s="227" t="s">
        <v>15</v>
      </c>
      <c r="E5" s="227" t="s">
        <v>16</v>
      </c>
      <c r="F5" s="227" t="s">
        <v>15</v>
      </c>
      <c r="G5" s="227" t="s">
        <v>16</v>
      </c>
      <c r="H5" s="227" t="s">
        <v>15</v>
      </c>
      <c r="I5" s="436" t="s">
        <v>59</v>
      </c>
      <c r="J5" s="227" t="s">
        <v>15</v>
      </c>
      <c r="K5" s="436" t="s">
        <v>59</v>
      </c>
      <c r="L5" s="434"/>
      <c r="M5" s="227" t="s">
        <v>15</v>
      </c>
      <c r="N5" s="436" t="s">
        <v>59</v>
      </c>
      <c r="O5" s="434"/>
      <c r="P5" s="227" t="s">
        <v>15</v>
      </c>
      <c r="Q5" s="436" t="s">
        <v>59</v>
      </c>
      <c r="R5" s="434"/>
      <c r="S5" s="227" t="s">
        <v>15</v>
      </c>
      <c r="T5" s="436" t="s">
        <v>59</v>
      </c>
      <c r="U5" s="434"/>
      <c r="V5" s="227" t="s">
        <v>15</v>
      </c>
      <c r="W5" s="436" t="s">
        <v>59</v>
      </c>
      <c r="X5" s="434"/>
      <c r="Y5" s="227" t="s">
        <v>15</v>
      </c>
      <c r="Z5" s="436" t="s">
        <v>59</v>
      </c>
      <c r="AA5" s="434"/>
      <c r="AB5" s="353" t="s">
        <v>15</v>
      </c>
      <c r="AC5" s="436" t="s">
        <v>59</v>
      </c>
      <c r="AD5" s="440"/>
      <c r="AE5" s="353" t="s">
        <v>15</v>
      </c>
      <c r="AF5" s="436" t="s">
        <v>59</v>
      </c>
      <c r="AG5" s="440"/>
    </row>
    <row r="6" spans="1:33">
      <c r="A6" s="228"/>
      <c r="B6" s="229" t="s">
        <v>17</v>
      </c>
      <c r="C6" s="227" t="s">
        <v>31</v>
      </c>
      <c r="D6" s="227" t="s">
        <v>17</v>
      </c>
      <c r="E6" s="227" t="s">
        <v>18</v>
      </c>
      <c r="F6" s="229" t="s">
        <v>17</v>
      </c>
      <c r="G6" s="227" t="s">
        <v>18</v>
      </c>
      <c r="H6" s="227" t="s">
        <v>51</v>
      </c>
      <c r="I6" s="436"/>
      <c r="J6" s="227" t="s">
        <v>51</v>
      </c>
      <c r="K6" s="436"/>
      <c r="L6" s="434"/>
      <c r="M6" s="227" t="s">
        <v>51</v>
      </c>
      <c r="N6" s="436"/>
      <c r="O6" s="434"/>
      <c r="P6" s="227" t="s">
        <v>51</v>
      </c>
      <c r="Q6" s="436"/>
      <c r="R6" s="434"/>
      <c r="S6" s="227" t="s">
        <v>51</v>
      </c>
      <c r="T6" s="436"/>
      <c r="U6" s="434"/>
      <c r="V6" s="227" t="s">
        <v>51</v>
      </c>
      <c r="W6" s="436"/>
      <c r="X6" s="434"/>
      <c r="Y6" s="227" t="s">
        <v>51</v>
      </c>
      <c r="Z6" s="436"/>
      <c r="AA6" s="434"/>
      <c r="AB6" s="353" t="s">
        <v>51</v>
      </c>
      <c r="AC6" s="436"/>
      <c r="AD6" s="440"/>
      <c r="AE6" s="353" t="s">
        <v>51</v>
      </c>
      <c r="AF6" s="436"/>
      <c r="AG6" s="440"/>
    </row>
    <row r="7" spans="1:33" ht="19.5" customHeight="1">
      <c r="A7" s="228"/>
      <c r="B7" s="229"/>
      <c r="C7" s="227" t="s">
        <v>13</v>
      </c>
      <c r="D7" s="229"/>
      <c r="E7" s="227" t="s">
        <v>13</v>
      </c>
      <c r="F7" s="229"/>
      <c r="G7" s="227" t="s">
        <v>13</v>
      </c>
      <c r="H7" s="229"/>
      <c r="I7" s="230"/>
      <c r="J7" s="229"/>
      <c r="K7" s="230"/>
      <c r="L7" s="434"/>
      <c r="M7" s="229"/>
      <c r="N7" s="230"/>
      <c r="O7" s="434"/>
      <c r="P7" s="229"/>
      <c r="Q7" s="230"/>
      <c r="R7" s="434"/>
      <c r="S7" s="229"/>
      <c r="T7" s="230"/>
      <c r="U7" s="434"/>
      <c r="V7" s="229"/>
      <c r="W7" s="230"/>
      <c r="X7" s="434"/>
      <c r="Y7" s="229"/>
      <c r="Z7" s="230"/>
      <c r="AA7" s="434"/>
      <c r="AB7" s="357"/>
      <c r="AC7" s="230"/>
      <c r="AD7" s="440"/>
      <c r="AE7" s="354"/>
      <c r="AF7" s="230"/>
      <c r="AG7" s="440"/>
    </row>
    <row r="8" spans="1:33" ht="15" customHeight="1">
      <c r="A8" s="231" t="s">
        <v>20</v>
      </c>
      <c r="B8" s="27">
        <v>14673</v>
      </c>
      <c r="C8" s="232">
        <v>2940510</v>
      </c>
      <c r="D8" s="27">
        <v>14562</v>
      </c>
      <c r="E8" s="59">
        <v>3818295</v>
      </c>
      <c r="F8" s="27">
        <v>14489</v>
      </c>
      <c r="G8" s="232">
        <v>3005355</v>
      </c>
      <c r="H8" s="27">
        <v>12860</v>
      </c>
      <c r="I8" s="59">
        <v>6429356</v>
      </c>
      <c r="J8" s="27">
        <v>14841</v>
      </c>
      <c r="K8" s="60">
        <v>5725662</v>
      </c>
      <c r="L8" s="212">
        <f t="shared" ref="L8:L22" si="0">J8/H8-1</f>
        <v>0.15404354587869373</v>
      </c>
      <c r="M8" s="27">
        <v>20020</v>
      </c>
      <c r="N8" s="65">
        <v>6402802</v>
      </c>
      <c r="O8" s="183">
        <f t="shared" ref="O8:O22" si="1">M8/J8-1</f>
        <v>0.34896570311973596</v>
      </c>
      <c r="P8" s="27">
        <v>20351</v>
      </c>
      <c r="Q8" s="65">
        <v>7694758</v>
      </c>
      <c r="R8" s="183">
        <f t="shared" ref="R8:R22" si="2">P8/M8-1</f>
        <v>1.6533466533466434E-2</v>
      </c>
      <c r="S8" s="27">
        <v>24571</v>
      </c>
      <c r="T8" s="65">
        <v>7876600</v>
      </c>
      <c r="U8" s="183">
        <f t="shared" ref="U8:U22" si="3">S8/P8-1</f>
        <v>0.20736081765023839</v>
      </c>
      <c r="V8" s="184">
        <v>26620</v>
      </c>
      <c r="W8" s="65">
        <v>12806842</v>
      </c>
      <c r="X8" s="183">
        <v>8.3390989377721603E-2</v>
      </c>
      <c r="Y8" s="27">
        <v>25851</v>
      </c>
      <c r="Z8" s="65">
        <v>12217167.890000001</v>
      </c>
      <c r="AA8" s="183">
        <v>-2.8888054094665661E-2</v>
      </c>
      <c r="AB8" s="184">
        <f>'δικ κατά μήν και κοιν 2015-2016'!W6</f>
        <v>22852</v>
      </c>
      <c r="AC8" s="65">
        <v>8009723.1799999997</v>
      </c>
      <c r="AD8" s="103">
        <f>'δικ κατά μήν και κοιν 2015-2016'!X6</f>
        <v>-0.11601098603535642</v>
      </c>
      <c r="AE8" s="184">
        <f>'δικ κατά μήν και κοιν 2015-2016'!AC6</f>
        <v>21710</v>
      </c>
      <c r="AF8" s="337">
        <f>7357934.48</f>
        <v>7357934.4800000004</v>
      </c>
      <c r="AG8" s="103">
        <f>'δικ κατά μήν και κοιν 2015-2016'!AD6</f>
        <v>-4.9973744092420835E-2</v>
      </c>
    </row>
    <row r="9" spans="1:33" ht="15" customHeight="1">
      <c r="A9" s="231" t="s">
        <v>21</v>
      </c>
      <c r="B9" s="27">
        <v>14411</v>
      </c>
      <c r="C9" s="232">
        <v>3852153</v>
      </c>
      <c r="D9" s="27">
        <v>14322</v>
      </c>
      <c r="E9" s="59">
        <v>3421812</v>
      </c>
      <c r="F9" s="27">
        <v>13985</v>
      </c>
      <c r="G9" s="232">
        <v>4133238</v>
      </c>
      <c r="H9" s="27">
        <v>12872</v>
      </c>
      <c r="I9" s="59">
        <v>7705397</v>
      </c>
      <c r="J9" s="27">
        <v>15214</v>
      </c>
      <c r="K9" s="60">
        <v>7721727</v>
      </c>
      <c r="L9" s="212">
        <f t="shared" si="0"/>
        <v>0.18194530764449968</v>
      </c>
      <c r="M9" s="27">
        <v>18653</v>
      </c>
      <c r="N9" s="65">
        <v>9341322</v>
      </c>
      <c r="O9" s="183">
        <f t="shared" si="1"/>
        <v>0.22604180360194559</v>
      </c>
      <c r="P9" s="27">
        <v>19835</v>
      </c>
      <c r="Q9" s="65">
        <v>9733588</v>
      </c>
      <c r="R9" s="183">
        <f t="shared" si="2"/>
        <v>6.3367822870315837E-2</v>
      </c>
      <c r="S9" s="27">
        <v>23999</v>
      </c>
      <c r="T9" s="65">
        <v>13293238</v>
      </c>
      <c r="U9" s="183">
        <f t="shared" si="3"/>
        <v>0.20993193849256375</v>
      </c>
      <c r="V9" s="184">
        <v>26029</v>
      </c>
      <c r="W9" s="65">
        <v>13168840</v>
      </c>
      <c r="X9" s="183">
        <v>8.4586857785741154E-2</v>
      </c>
      <c r="Y9" s="27">
        <v>24531</v>
      </c>
      <c r="Z9" s="65">
        <v>15484118.310000001</v>
      </c>
      <c r="AA9" s="183">
        <v>-5.75511929002267E-2</v>
      </c>
      <c r="AB9" s="184">
        <f>'δικ κατά μήν και κοιν 2015-2016'!W7</f>
        <v>22115</v>
      </c>
      <c r="AC9" s="65">
        <v>12834958.65</v>
      </c>
      <c r="AD9" s="103">
        <f>'δικ κατά μήν και κοιν 2015-2016'!X7</f>
        <v>-9.8487627899392582E-2</v>
      </c>
      <c r="AE9" s="184">
        <f>'δικ κατά μήν και κοιν 2015-2016'!AC7</f>
        <v>20985</v>
      </c>
      <c r="AF9" s="338">
        <v>13209967.01</v>
      </c>
      <c r="AG9" s="103">
        <f>'δικ κατά μήν και κοιν 2015-2016'!AD7</f>
        <v>-5.10965408094054E-2</v>
      </c>
    </row>
    <row r="10" spans="1:33" ht="15" customHeight="1">
      <c r="A10" s="231" t="s">
        <v>22</v>
      </c>
      <c r="B10" s="27">
        <v>13289</v>
      </c>
      <c r="C10" s="232">
        <v>4243776</v>
      </c>
      <c r="D10" s="27">
        <v>13512</v>
      </c>
      <c r="E10" s="59">
        <v>4348349</v>
      </c>
      <c r="F10" s="27">
        <v>12972</v>
      </c>
      <c r="G10" s="232">
        <v>4375808</v>
      </c>
      <c r="H10" s="27">
        <v>12054</v>
      </c>
      <c r="I10" s="60">
        <v>6561430</v>
      </c>
      <c r="J10" s="27">
        <v>15070</v>
      </c>
      <c r="K10" s="60">
        <v>6994997</v>
      </c>
      <c r="L10" s="212">
        <f t="shared" si="0"/>
        <v>0.25020740003318398</v>
      </c>
      <c r="M10" s="27">
        <v>18118</v>
      </c>
      <c r="N10" s="65">
        <v>12306668</v>
      </c>
      <c r="O10" s="183">
        <f t="shared" si="1"/>
        <v>0.20225613802256137</v>
      </c>
      <c r="P10" s="27">
        <v>18795</v>
      </c>
      <c r="Q10" s="65">
        <v>16379537</v>
      </c>
      <c r="R10" s="183">
        <f t="shared" si="2"/>
        <v>3.7366155204768825E-2</v>
      </c>
      <c r="S10" s="27">
        <v>23365</v>
      </c>
      <c r="T10" s="65">
        <v>13221451</v>
      </c>
      <c r="U10" s="183">
        <f t="shared" si="3"/>
        <v>0.24314977387603087</v>
      </c>
      <c r="V10" s="184">
        <v>25463</v>
      </c>
      <c r="W10" s="65">
        <v>8845520</v>
      </c>
      <c r="X10" s="183">
        <v>8.9792424566659479E-2</v>
      </c>
      <c r="Y10" s="27">
        <v>22756</v>
      </c>
      <c r="Z10" s="65">
        <v>21530313.949999999</v>
      </c>
      <c r="AA10" s="183">
        <v>-0.10631111809291915</v>
      </c>
      <c r="AB10" s="184">
        <f>'δικ κατά μήν και κοιν 2015-2016'!W8</f>
        <v>21503</v>
      </c>
      <c r="AC10" s="288">
        <v>16495174.210000001</v>
      </c>
      <c r="AD10" s="103">
        <f>'δικ κατά μήν και κοιν 2015-2016'!X8</f>
        <v>-5.5062401124978066E-2</v>
      </c>
      <c r="AE10" s="184">
        <f>'δικ κατά μήν και κοιν 2015-2016'!AC8</f>
        <v>18700</v>
      </c>
      <c r="AF10" s="338">
        <v>14919427.77</v>
      </c>
      <c r="AG10" s="103">
        <f>'δικ κατά μήν και κοιν 2015-2016'!AD8</f>
        <v>-0.1303539041064038</v>
      </c>
    </row>
    <row r="11" spans="1:33" ht="15" customHeight="1">
      <c r="A11" s="231" t="s">
        <v>23</v>
      </c>
      <c r="B11" s="27">
        <v>8005</v>
      </c>
      <c r="C11" s="232">
        <v>3585663</v>
      </c>
      <c r="D11" s="27">
        <v>8879</v>
      </c>
      <c r="E11" s="59">
        <v>4502221</v>
      </c>
      <c r="F11" s="27">
        <v>8319</v>
      </c>
      <c r="G11" s="232">
        <v>3911497</v>
      </c>
      <c r="H11" s="27">
        <v>7536</v>
      </c>
      <c r="I11" s="59">
        <v>6895257</v>
      </c>
      <c r="J11" s="27">
        <v>11372</v>
      </c>
      <c r="K11" s="59">
        <v>6955494</v>
      </c>
      <c r="L11" s="212">
        <f t="shared" si="0"/>
        <v>0.50902335456475578</v>
      </c>
      <c r="M11" s="27">
        <v>13085</v>
      </c>
      <c r="N11" s="64">
        <v>8344709</v>
      </c>
      <c r="O11" s="183">
        <f t="shared" si="1"/>
        <v>0.1506331340133662</v>
      </c>
      <c r="P11" s="27">
        <v>14693</v>
      </c>
      <c r="Q11" s="64">
        <v>8299999</v>
      </c>
      <c r="R11" s="183">
        <f t="shared" si="2"/>
        <v>0.12288880397401614</v>
      </c>
      <c r="S11" s="27">
        <v>20574</v>
      </c>
      <c r="T11" s="64">
        <v>16676663</v>
      </c>
      <c r="U11" s="183">
        <f t="shared" si="3"/>
        <v>0.40025862655686373</v>
      </c>
      <c r="V11" s="184">
        <v>22232</v>
      </c>
      <c r="W11" s="64">
        <v>28124828</v>
      </c>
      <c r="X11" s="183">
        <v>8.0587148828618727E-2</v>
      </c>
      <c r="Y11" s="27">
        <v>16029</v>
      </c>
      <c r="Z11" s="64">
        <v>8958941.1099999994</v>
      </c>
      <c r="AA11" s="183">
        <v>-0.27901223461676861</v>
      </c>
      <c r="AB11" s="184">
        <f>'δικ κατά μήν και κοιν 2015-2016'!W9</f>
        <v>14653</v>
      </c>
      <c r="AC11" s="64">
        <v>9258461.4900000002</v>
      </c>
      <c r="AD11" s="103">
        <f>'δικ κατά μήν και κοιν 2015-2016'!X9</f>
        <v>-8.5844407012290236E-2</v>
      </c>
      <c r="AE11" s="184">
        <f>'δικ κατά μήν και κοιν 2015-2016'!AC9</f>
        <v>12541</v>
      </c>
      <c r="AF11" s="338">
        <v>11580668.84</v>
      </c>
      <c r="AG11" s="103">
        <f>'δικ κατά μήν και κοιν 2015-2016'!AD9</f>
        <v>-0.14413430696785645</v>
      </c>
    </row>
    <row r="12" spans="1:33" ht="15" customHeight="1">
      <c r="A12" s="231" t="s">
        <v>24</v>
      </c>
      <c r="B12" s="27">
        <v>7266</v>
      </c>
      <c r="C12" s="232">
        <v>2647918</v>
      </c>
      <c r="D12" s="27">
        <v>7355</v>
      </c>
      <c r="E12" s="59">
        <v>2639504.41</v>
      </c>
      <c r="F12" s="27">
        <v>6149</v>
      </c>
      <c r="G12" s="232">
        <v>3349936</v>
      </c>
      <c r="H12" s="27">
        <v>5808</v>
      </c>
      <c r="I12" s="59">
        <v>4136432</v>
      </c>
      <c r="J12" s="27">
        <v>9699</v>
      </c>
      <c r="K12" s="59">
        <v>9179790</v>
      </c>
      <c r="L12" s="212">
        <f t="shared" si="0"/>
        <v>0.66993801652892571</v>
      </c>
      <c r="M12" s="27">
        <v>10740</v>
      </c>
      <c r="N12" s="64">
        <v>10398300</v>
      </c>
      <c r="O12" s="183">
        <f t="shared" si="1"/>
        <v>0.10733065264460251</v>
      </c>
      <c r="P12" s="27">
        <v>12109</v>
      </c>
      <c r="Q12" s="64">
        <v>8780870</v>
      </c>
      <c r="R12" s="183">
        <f t="shared" si="2"/>
        <v>0.1274674115456238</v>
      </c>
      <c r="S12" s="27">
        <v>15841</v>
      </c>
      <c r="T12" s="64">
        <v>14404648</v>
      </c>
      <c r="U12" s="183">
        <f t="shared" si="3"/>
        <v>0.30820051201585597</v>
      </c>
      <c r="V12" s="184">
        <v>18833</v>
      </c>
      <c r="W12" s="64">
        <v>12962000</v>
      </c>
      <c r="X12" s="183">
        <v>0.18887696483807837</v>
      </c>
      <c r="Y12" s="27">
        <v>11451</v>
      </c>
      <c r="Z12" s="64">
        <v>15803638.560000001</v>
      </c>
      <c r="AA12" s="183">
        <v>-0.39197153931927997</v>
      </c>
      <c r="AB12" s="184">
        <f>'δικ κατά μήν και κοιν 2015-2016'!W10</f>
        <v>9932</v>
      </c>
      <c r="AC12" s="234">
        <v>12898529.34</v>
      </c>
      <c r="AD12" s="103">
        <f>'δικ κατά μήν και κοιν 2015-2016'!X10</f>
        <v>-0.13265217011614705</v>
      </c>
      <c r="AE12" s="184">
        <f>'δικ κατά μήν και κοιν 2015-2016'!AC10</f>
        <v>8468</v>
      </c>
      <c r="AF12" s="339">
        <v>5165648.1399999997</v>
      </c>
      <c r="AG12" s="103">
        <f>'δικ κατά μήν και κοιν 2015-2016'!AD10</f>
        <v>-0.1474023358840113</v>
      </c>
    </row>
    <row r="13" spans="1:33" ht="15" customHeight="1" thickBot="1">
      <c r="A13" s="235" t="s">
        <v>25</v>
      </c>
      <c r="B13" s="20">
        <v>7282</v>
      </c>
      <c r="C13" s="236">
        <v>2036403</v>
      </c>
      <c r="D13" s="20">
        <v>7260</v>
      </c>
      <c r="E13" s="73">
        <v>1734611.23</v>
      </c>
      <c r="F13" s="20">
        <v>6516</v>
      </c>
      <c r="G13" s="236">
        <v>2056713</v>
      </c>
      <c r="H13" s="20">
        <v>5954</v>
      </c>
      <c r="I13" s="73">
        <v>2584829.96</v>
      </c>
      <c r="J13" s="20">
        <v>10145</v>
      </c>
      <c r="K13" s="73">
        <v>4954591</v>
      </c>
      <c r="L13" s="237">
        <f t="shared" si="0"/>
        <v>0.70389654014108172</v>
      </c>
      <c r="M13" s="20">
        <v>11103</v>
      </c>
      <c r="N13" s="69">
        <v>6021837</v>
      </c>
      <c r="O13" s="185">
        <f t="shared" si="1"/>
        <v>9.4430754066042288E-2</v>
      </c>
      <c r="P13" s="20">
        <v>12719</v>
      </c>
      <c r="Q13" s="69">
        <v>6967932</v>
      </c>
      <c r="R13" s="185">
        <f t="shared" si="2"/>
        <v>0.14554624876159594</v>
      </c>
      <c r="S13" s="20">
        <v>15488</v>
      </c>
      <c r="T13" s="69">
        <v>9288140</v>
      </c>
      <c r="U13" s="185">
        <f t="shared" si="3"/>
        <v>0.21770579448069816</v>
      </c>
      <c r="V13" s="189">
        <v>18956</v>
      </c>
      <c r="W13" s="69">
        <v>10602509</v>
      </c>
      <c r="X13" s="185">
        <v>0.22391528925619841</v>
      </c>
      <c r="Y13" s="20">
        <v>11520</v>
      </c>
      <c r="Z13" s="69">
        <v>6037919.7999999998</v>
      </c>
      <c r="AA13" s="185">
        <v>-0.39227685165646764</v>
      </c>
      <c r="AB13" s="358">
        <f>'δικ κατά μήν και κοιν 2015-2016'!W11</f>
        <v>9972</v>
      </c>
      <c r="AC13" s="69">
        <v>5320199.95</v>
      </c>
      <c r="AD13" s="336">
        <f>'δικ κατά μήν και κοιν 2015-2016'!X11</f>
        <v>-0.13437500000000002</v>
      </c>
      <c r="AE13" s="184">
        <f>'δικ κατά μήν και κοιν 2015-2016'!AC11</f>
        <v>7968</v>
      </c>
      <c r="AF13" s="319">
        <v>4609951.57</v>
      </c>
      <c r="AG13" s="103">
        <f>'δικ κατά μήν και κοιν 2015-2016'!AD11</f>
        <v>-0.2009626955475331</v>
      </c>
    </row>
    <row r="14" spans="1:33" s="352" customFormat="1" ht="57" customHeight="1" thickBot="1">
      <c r="A14" s="362" t="s">
        <v>52</v>
      </c>
      <c r="B14" s="251">
        <f>AVERAGE(B8:B13)</f>
        <v>10821</v>
      </c>
      <c r="C14" s="363">
        <f>SUM(C8:C13)</f>
        <v>19306423</v>
      </c>
      <c r="D14" s="251">
        <f>AVERAGE(D8:D13)</f>
        <v>10981.666666666666</v>
      </c>
      <c r="E14" s="364">
        <f>SUM(E8:E13)</f>
        <v>20464792.640000001</v>
      </c>
      <c r="F14" s="251">
        <f>AVERAGE(F8:F13)</f>
        <v>10405</v>
      </c>
      <c r="G14" s="363">
        <f>SUM(G8:G13)</f>
        <v>20832547</v>
      </c>
      <c r="H14" s="251">
        <f>AVERAGE(H8:H13)</f>
        <v>9514</v>
      </c>
      <c r="I14" s="365">
        <f>SUM(I8:I13)</f>
        <v>34312701.960000001</v>
      </c>
      <c r="J14" s="251">
        <f>AVERAGE(J8:J13)</f>
        <v>12723.5</v>
      </c>
      <c r="K14" s="365">
        <f>SUM(K8:K13)</f>
        <v>41532261</v>
      </c>
      <c r="L14" s="366">
        <f t="shared" si="0"/>
        <v>0.33734496531427371</v>
      </c>
      <c r="M14" s="251">
        <f>AVERAGE(M8:M13)</f>
        <v>15286.5</v>
      </c>
      <c r="N14" s="367">
        <f>SUM(N8:N13)</f>
        <v>52815638</v>
      </c>
      <c r="O14" s="368">
        <f t="shared" si="1"/>
        <v>0.20143828349117765</v>
      </c>
      <c r="P14" s="251">
        <f>AVERAGE(P8:P13)</f>
        <v>16417</v>
      </c>
      <c r="Q14" s="367">
        <f>SUM(Q8:Q13)</f>
        <v>57856684</v>
      </c>
      <c r="R14" s="368">
        <f t="shared" si="2"/>
        <v>7.3954142544074841E-2</v>
      </c>
      <c r="S14" s="251">
        <f>AVERAGE(S8:S13)</f>
        <v>20639.666666666668</v>
      </c>
      <c r="T14" s="367">
        <f>SUM(T8:T13)</f>
        <v>74760740</v>
      </c>
      <c r="U14" s="368">
        <f t="shared" si="3"/>
        <v>0.25721305151164442</v>
      </c>
      <c r="V14" s="251">
        <f>AVERAGE(V8:V13)</f>
        <v>23022.166666666668</v>
      </c>
      <c r="W14" s="367">
        <f>SUM(W8:W13)</f>
        <v>86510539</v>
      </c>
      <c r="X14" s="366">
        <f t="shared" ref="X14" si="4">V14/S14-1</f>
        <v>0.1154330657794862</v>
      </c>
      <c r="Y14" s="344">
        <v>18689.666666666668</v>
      </c>
      <c r="Z14" s="367">
        <v>80032099.620000005</v>
      </c>
      <c r="AA14" s="366">
        <v>-0.18818819543483456</v>
      </c>
      <c r="AB14" s="359">
        <f>'δικ κατά μήν και κοιν 2015-2016'!W12</f>
        <v>16837.833333333332</v>
      </c>
      <c r="AC14" s="367">
        <v>64817046.820000008</v>
      </c>
      <c r="AD14" s="369">
        <f>'δικ κατά μήν και κοιν 2015-2016'!X12</f>
        <v>-9.9083272396511601E-2</v>
      </c>
      <c r="AE14" s="355">
        <f>AVERAGE(AE8:AE13)</f>
        <v>15062</v>
      </c>
      <c r="AF14" s="367">
        <f>SUM(AF8:AF13)</f>
        <v>56843597.81000001</v>
      </c>
      <c r="AG14" s="370">
        <f>(AE14/AB14)-1</f>
        <v>-0.10546685539509237</v>
      </c>
    </row>
    <row r="15" spans="1:33" ht="15" customHeight="1">
      <c r="A15" s="238" t="s">
        <v>26</v>
      </c>
      <c r="B15" s="28">
        <v>8708</v>
      </c>
      <c r="C15" s="239">
        <v>1031804</v>
      </c>
      <c r="D15" s="28">
        <v>8866</v>
      </c>
      <c r="E15" s="240">
        <v>2106129</v>
      </c>
      <c r="F15" s="28">
        <v>8061</v>
      </c>
      <c r="G15" s="239">
        <v>1502791</v>
      </c>
      <c r="H15" s="28">
        <v>7529</v>
      </c>
      <c r="I15" s="240">
        <v>2428466</v>
      </c>
      <c r="J15" s="28">
        <v>12127</v>
      </c>
      <c r="K15" s="240">
        <v>5106587</v>
      </c>
      <c r="L15" s="241">
        <f t="shared" si="0"/>
        <v>0.61070527294461407</v>
      </c>
      <c r="M15" s="28">
        <v>12749</v>
      </c>
      <c r="N15" s="83">
        <v>3590014</v>
      </c>
      <c r="O15" s="187">
        <f t="shared" si="1"/>
        <v>5.1290508782056543E-2</v>
      </c>
      <c r="P15" s="28">
        <v>14759</v>
      </c>
      <c r="Q15" s="83">
        <v>3742612</v>
      </c>
      <c r="R15" s="187">
        <f t="shared" si="2"/>
        <v>0.15765942426857005</v>
      </c>
      <c r="S15" s="28">
        <v>17559</v>
      </c>
      <c r="T15" s="83">
        <v>7397094</v>
      </c>
      <c r="U15" s="187">
        <f t="shared" si="3"/>
        <v>0.18971475032183749</v>
      </c>
      <c r="V15" s="242">
        <v>20026</v>
      </c>
      <c r="W15" s="83">
        <v>8606327</v>
      </c>
      <c r="X15" s="187">
        <v>0.14049775044136914</v>
      </c>
      <c r="Y15" s="28">
        <v>12962</v>
      </c>
      <c r="Z15" s="83">
        <v>7529240.8700000001</v>
      </c>
      <c r="AA15" s="243">
        <v>-0.35274143613302711</v>
      </c>
      <c r="AB15" s="360">
        <f>'δικ κατά μήν και κοιν 2015-2016'!W13</f>
        <v>11922</v>
      </c>
      <c r="AC15" s="83">
        <v>5223997.03</v>
      </c>
      <c r="AD15" s="335">
        <f>'δικ κατά μήν και κοιν 2015-2016'!X13</f>
        <v>-8.0234531708069712E-2</v>
      </c>
      <c r="AE15" s="242">
        <f>'δικ κατά μήν και κοιν 2015-2016'!AC13</f>
        <v>10339</v>
      </c>
      <c r="AF15" s="83">
        <v>4120406.06</v>
      </c>
      <c r="AG15" s="244">
        <f>'δικ κατά μήν και κοιν 2015-2016'!AD13</f>
        <v>-0.13277973494380135</v>
      </c>
    </row>
    <row r="16" spans="1:33" ht="15" customHeight="1">
      <c r="A16" s="231" t="s">
        <v>7</v>
      </c>
      <c r="B16" s="27">
        <v>8419</v>
      </c>
      <c r="C16" s="232">
        <v>2904935.01</v>
      </c>
      <c r="D16" s="27">
        <v>8827</v>
      </c>
      <c r="E16" s="59">
        <v>1377861</v>
      </c>
      <c r="F16" s="27">
        <v>7992</v>
      </c>
      <c r="G16" s="232">
        <v>2217876</v>
      </c>
      <c r="H16" s="27">
        <v>7648</v>
      </c>
      <c r="I16" s="59">
        <v>3006346</v>
      </c>
      <c r="J16" s="27">
        <v>12023</v>
      </c>
      <c r="K16" s="59">
        <v>4571245</v>
      </c>
      <c r="L16" s="212">
        <f t="shared" si="0"/>
        <v>0.57204497907949792</v>
      </c>
      <c r="M16" s="27">
        <v>12320</v>
      </c>
      <c r="N16" s="64">
        <v>5135684</v>
      </c>
      <c r="O16" s="183">
        <f t="shared" si="1"/>
        <v>2.470265324794152E-2</v>
      </c>
      <c r="P16" s="27">
        <v>14356</v>
      </c>
      <c r="Q16" s="64">
        <v>5949558</v>
      </c>
      <c r="R16" s="183">
        <f t="shared" si="2"/>
        <v>0.16525974025974022</v>
      </c>
      <c r="S16" s="27">
        <v>16606</v>
      </c>
      <c r="T16" s="64">
        <v>6406861</v>
      </c>
      <c r="U16" s="183">
        <f t="shared" si="3"/>
        <v>0.15672889384229594</v>
      </c>
      <c r="V16" s="184">
        <v>19330</v>
      </c>
      <c r="W16" s="64">
        <v>9095878</v>
      </c>
      <c r="X16" s="183">
        <v>0.16403709502589425</v>
      </c>
      <c r="Y16" s="27">
        <v>12376</v>
      </c>
      <c r="Z16" s="64">
        <v>4793045.2300000004</v>
      </c>
      <c r="AA16" s="233">
        <v>-0.3597516813243663</v>
      </c>
      <c r="AB16" s="184">
        <f>'δικ κατά μήν και κοιν 2015-2016'!W14</f>
        <v>11497</v>
      </c>
      <c r="AC16" s="234">
        <v>4088196.16</v>
      </c>
      <c r="AD16" s="103">
        <f>'δικ κατά μήν και κοιν 2015-2016'!X14</f>
        <v>-7.1024563671622465E-2</v>
      </c>
      <c r="AE16" s="242">
        <f>'δικ κατά μήν και κοιν 2015-2016'!AC14</f>
        <v>10707</v>
      </c>
      <c r="AF16" s="234">
        <v>3810781.64</v>
      </c>
      <c r="AG16" s="244">
        <f>'δικ κατά μήν και κοιν 2015-2016'!AD14</f>
        <v>-6.8713577454988295E-2</v>
      </c>
    </row>
    <row r="17" spans="1:33" ht="15" customHeight="1">
      <c r="A17" s="231" t="s">
        <v>27</v>
      </c>
      <c r="B17" s="27">
        <v>7846</v>
      </c>
      <c r="C17" s="232">
        <v>2923665.34</v>
      </c>
      <c r="D17" s="27">
        <v>8413</v>
      </c>
      <c r="E17" s="59">
        <v>3020351.79</v>
      </c>
      <c r="F17" s="27">
        <v>7618</v>
      </c>
      <c r="G17" s="232">
        <v>2150669</v>
      </c>
      <c r="H17" s="27">
        <v>6945</v>
      </c>
      <c r="I17" s="59">
        <v>3873569</v>
      </c>
      <c r="J17" s="27">
        <v>11661</v>
      </c>
      <c r="K17" s="59">
        <v>7025665</v>
      </c>
      <c r="L17" s="212">
        <f t="shared" si="0"/>
        <v>0.67904967602591793</v>
      </c>
      <c r="M17" s="27">
        <v>11323</v>
      </c>
      <c r="N17" s="64">
        <v>8542058</v>
      </c>
      <c r="O17" s="183">
        <f t="shared" si="1"/>
        <v>-2.8985507246376829E-2</v>
      </c>
      <c r="P17" s="27">
        <v>13780</v>
      </c>
      <c r="Q17" s="64">
        <v>8229483</v>
      </c>
      <c r="R17" s="183">
        <f t="shared" si="2"/>
        <v>0.21699196326061987</v>
      </c>
      <c r="S17" s="27">
        <v>16394</v>
      </c>
      <c r="T17" s="64">
        <v>11517137</v>
      </c>
      <c r="U17" s="183">
        <f t="shared" si="3"/>
        <v>0.18969521044992743</v>
      </c>
      <c r="V17" s="184">
        <v>19612</v>
      </c>
      <c r="W17" s="64">
        <v>9533807</v>
      </c>
      <c r="X17" s="183">
        <v>0.19629132609491284</v>
      </c>
      <c r="Y17" s="27">
        <v>12280</v>
      </c>
      <c r="Z17" s="64">
        <v>8105076.2800000003</v>
      </c>
      <c r="AA17" s="233">
        <v>-0.37385274321843764</v>
      </c>
      <c r="AB17" s="184">
        <f>'δικ κατά μήν και κοιν 2015-2016'!W15</f>
        <v>9999</v>
      </c>
      <c r="AC17" s="234">
        <v>5349213.13</v>
      </c>
      <c r="AD17" s="103">
        <f>'δικ κατά μήν και κοιν 2015-2016'!X15</f>
        <v>-0.18574918566775245</v>
      </c>
      <c r="AE17" s="242">
        <f>'δικ κατά μήν και κοιν 2015-2016'!AC15</f>
        <v>9309</v>
      </c>
      <c r="AF17" s="234">
        <v>6698222.1299999999</v>
      </c>
      <c r="AG17" s="244">
        <f>'δικ κατά μήν και κοιν 2015-2016'!AD15</f>
        <v>-6.9006900690068984E-2</v>
      </c>
    </row>
    <row r="18" spans="1:33" ht="15" customHeight="1">
      <c r="A18" s="231" t="s">
        <v>28</v>
      </c>
      <c r="B18" s="27">
        <v>6917</v>
      </c>
      <c r="C18" s="232">
        <v>1827238</v>
      </c>
      <c r="D18" s="27">
        <v>6743</v>
      </c>
      <c r="E18" s="59">
        <v>2304286</v>
      </c>
      <c r="F18" s="27">
        <v>5798</v>
      </c>
      <c r="G18" s="232">
        <v>2070347</v>
      </c>
      <c r="H18" s="27">
        <v>5771</v>
      </c>
      <c r="I18" s="59">
        <v>3454842</v>
      </c>
      <c r="J18" s="27">
        <v>10381</v>
      </c>
      <c r="K18" s="59">
        <v>5069350</v>
      </c>
      <c r="L18" s="212">
        <f t="shared" si="0"/>
        <v>0.79882169468029796</v>
      </c>
      <c r="M18" s="27">
        <v>9802</v>
      </c>
      <c r="N18" s="64">
        <v>4385709</v>
      </c>
      <c r="O18" s="183">
        <f t="shared" si="1"/>
        <v>-5.5774973509295833E-2</v>
      </c>
      <c r="P18" s="27">
        <v>12259</v>
      </c>
      <c r="Q18" s="64">
        <v>7387566</v>
      </c>
      <c r="R18" s="183">
        <f t="shared" si="2"/>
        <v>0.25066312997347473</v>
      </c>
      <c r="S18" s="27">
        <v>14368</v>
      </c>
      <c r="T18" s="64">
        <v>9890312</v>
      </c>
      <c r="U18" s="183">
        <f t="shared" si="3"/>
        <v>0.172036870870381</v>
      </c>
      <c r="V18" s="184">
        <v>16726</v>
      </c>
      <c r="W18" s="64">
        <v>13392733.119999999</v>
      </c>
      <c r="X18" s="183">
        <v>0.16411469933184852</v>
      </c>
      <c r="Y18" s="27">
        <v>10128</v>
      </c>
      <c r="Z18" s="64">
        <v>6274512.7000000002</v>
      </c>
      <c r="AA18" s="233">
        <v>-0.39447566662680855</v>
      </c>
      <c r="AB18" s="184">
        <f>'δικ κατά μήν και κοιν 2015-2016'!W16</f>
        <v>8308</v>
      </c>
      <c r="AC18" s="234">
        <v>7804219.7999999998</v>
      </c>
      <c r="AD18" s="103">
        <f>'δικ κατά μήν και κοιν 2015-2016'!X16</f>
        <v>-0.17969984202211686</v>
      </c>
      <c r="AE18" s="242">
        <f>'δικ κατά μήν και κοιν 2015-2016'!AC16</f>
        <v>8157</v>
      </c>
      <c r="AF18" s="234">
        <v>4473853.51</v>
      </c>
      <c r="AG18" s="244">
        <f>'δικ κατά μήν και κοιν 2015-2016'!AD16</f>
        <v>-1.8175252768416028E-2</v>
      </c>
    </row>
    <row r="19" spans="1:33" ht="15" customHeight="1">
      <c r="A19" s="231" t="s">
        <v>29</v>
      </c>
      <c r="B19" s="27">
        <v>10002</v>
      </c>
      <c r="C19" s="232">
        <v>1990787</v>
      </c>
      <c r="D19" s="27">
        <v>10026</v>
      </c>
      <c r="E19" s="59">
        <v>2463829</v>
      </c>
      <c r="F19" s="27">
        <v>8930</v>
      </c>
      <c r="G19" s="232">
        <v>1916507</v>
      </c>
      <c r="H19" s="27">
        <v>9212</v>
      </c>
      <c r="I19" s="59">
        <v>2912126</v>
      </c>
      <c r="J19" s="27">
        <v>14716</v>
      </c>
      <c r="K19" s="59">
        <v>7174890</v>
      </c>
      <c r="L19" s="212">
        <f t="shared" si="0"/>
        <v>0.59748154580981327</v>
      </c>
      <c r="M19" s="27">
        <v>13996</v>
      </c>
      <c r="N19" s="64">
        <v>6514316</v>
      </c>
      <c r="O19" s="183">
        <f t="shared" si="1"/>
        <v>-4.8926338678988879E-2</v>
      </c>
      <c r="P19" s="27">
        <v>17523</v>
      </c>
      <c r="Q19" s="64">
        <v>8227126</v>
      </c>
      <c r="R19" s="183">
        <f t="shared" si="2"/>
        <v>0.25200057159188338</v>
      </c>
      <c r="S19" s="27">
        <v>19761</v>
      </c>
      <c r="T19" s="64">
        <v>7834516</v>
      </c>
      <c r="U19" s="183">
        <f t="shared" si="3"/>
        <v>0.12771785653141587</v>
      </c>
      <c r="V19" s="184">
        <v>21240</v>
      </c>
      <c r="W19" s="64">
        <v>14301504</v>
      </c>
      <c r="X19" s="183">
        <v>7.484439046606961E-2</v>
      </c>
      <c r="Y19" s="27">
        <v>17543</v>
      </c>
      <c r="Z19" s="234">
        <v>4760848.29</v>
      </c>
      <c r="AA19" s="233">
        <v>-0.17405838041431265</v>
      </c>
      <c r="AB19" s="184">
        <f>'δικ κατά μήν και κοιν 2015-2016'!W17</f>
        <v>16302</v>
      </c>
      <c r="AC19" s="234">
        <v>5176106.72</v>
      </c>
      <c r="AD19" s="103">
        <f>'δικ κατά μήν και κοιν 2015-2016'!X17</f>
        <v>-7.0740466282847914E-2</v>
      </c>
      <c r="AE19" s="242">
        <f>'δικ κατά μήν και κοιν 2015-2016'!AC17</f>
        <v>15330</v>
      </c>
      <c r="AF19" s="234">
        <v>4954848.5999999996</v>
      </c>
      <c r="AG19" s="244">
        <f>'δικ κατά μήν και κοιν 2015-2016'!AD17</f>
        <v>-5.9624585940375452E-2</v>
      </c>
    </row>
    <row r="20" spans="1:33" ht="15" customHeight="1" thickBot="1">
      <c r="A20" s="235" t="s">
        <v>30</v>
      </c>
      <c r="B20" s="20">
        <v>13093</v>
      </c>
      <c r="C20" s="236">
        <v>1935627</v>
      </c>
      <c r="D20" s="20">
        <v>12931</v>
      </c>
      <c r="E20" s="73">
        <v>1815997</v>
      </c>
      <c r="F20" s="20">
        <v>12041</v>
      </c>
      <c r="G20" s="236">
        <v>1472275</v>
      </c>
      <c r="H20" s="20">
        <v>12724</v>
      </c>
      <c r="I20" s="73">
        <v>3423575</v>
      </c>
      <c r="J20" s="20">
        <v>18370</v>
      </c>
      <c r="K20" s="73">
        <v>7432835</v>
      </c>
      <c r="L20" s="237">
        <f t="shared" si="0"/>
        <v>0.44372838729959141</v>
      </c>
      <c r="M20" s="20">
        <v>18115</v>
      </c>
      <c r="N20" s="69">
        <v>4825777</v>
      </c>
      <c r="O20" s="185">
        <f t="shared" si="1"/>
        <v>-1.3881328252585701E-2</v>
      </c>
      <c r="P20" s="20">
        <v>22051</v>
      </c>
      <c r="Q20" s="69">
        <v>6997865</v>
      </c>
      <c r="R20" s="185">
        <f t="shared" si="2"/>
        <v>0.21727849848192116</v>
      </c>
      <c r="S20" s="20">
        <v>24195</v>
      </c>
      <c r="T20" s="69">
        <v>6661968</v>
      </c>
      <c r="U20" s="185">
        <f t="shared" si="3"/>
        <v>9.7229150605414816E-2</v>
      </c>
      <c r="V20" s="189">
        <v>24855</v>
      </c>
      <c r="W20" s="69">
        <v>8462540.4199999999</v>
      </c>
      <c r="X20" s="185">
        <v>2.7278363298202102E-2</v>
      </c>
      <c r="Y20" s="20">
        <v>21335</v>
      </c>
      <c r="Z20" s="69">
        <v>5118992.74</v>
      </c>
      <c r="AA20" s="253">
        <v>-0.14162140414403546</v>
      </c>
      <c r="AB20" s="358">
        <f>'δικ κατά μήν και κοιν 2015-2016'!W18</f>
        <v>20543</v>
      </c>
      <c r="AC20" s="319">
        <v>4820164.46</v>
      </c>
      <c r="AD20" s="336">
        <f>'δικ κατά μήν και κοιν 2015-2016'!X18</f>
        <v>-3.7122099835950273E-2</v>
      </c>
      <c r="AE20" s="242">
        <f>'δικ κατά μήν και κοιν 2015-2016'!AC18</f>
        <v>20224</v>
      </c>
      <c r="AF20" s="319">
        <v>4347479.6900000004</v>
      </c>
      <c r="AG20" s="244">
        <f>'δικ κατά μήν και κοιν 2015-2016'!AD18</f>
        <v>-1.5528403835856519E-2</v>
      </c>
    </row>
    <row r="21" spans="1:33" ht="57.75" customHeight="1" thickBot="1">
      <c r="A21" s="245" t="s">
        <v>53</v>
      </c>
      <c r="B21" s="254">
        <f>AVERAGE(B15:B20)</f>
        <v>9164.1666666666661</v>
      </c>
      <c r="C21" s="246">
        <f>SUM(C15:C20)</f>
        <v>12614056.35</v>
      </c>
      <c r="D21" s="255">
        <f>AVERAGE(D15:D20)</f>
        <v>9301</v>
      </c>
      <c r="E21" s="247">
        <f>SUM(E15:E20)</f>
        <v>13088453.789999999</v>
      </c>
      <c r="F21" s="254">
        <f>AVERAGE(F15:F20)</f>
        <v>8406.6666666666661</v>
      </c>
      <c r="G21" s="246">
        <f>SUM(G15:G20)</f>
        <v>11330465</v>
      </c>
      <c r="H21" s="224">
        <f>AVERAGE(H15:H20)</f>
        <v>8304.8333333333339</v>
      </c>
      <c r="I21" s="248">
        <f>SUM(I15:I20)</f>
        <v>19098924</v>
      </c>
      <c r="J21" s="224">
        <f>AVERAGE(J15:J20)</f>
        <v>13213</v>
      </c>
      <c r="K21" s="248">
        <f>SUM(K15:K20)</f>
        <v>36380572</v>
      </c>
      <c r="L21" s="249">
        <f t="shared" si="0"/>
        <v>0.59100122418671841</v>
      </c>
      <c r="M21" s="122">
        <f>AVERAGE(M15:M20)</f>
        <v>13050.833333333334</v>
      </c>
      <c r="N21" s="95">
        <f>SUM(N15:N20)</f>
        <v>32993558</v>
      </c>
      <c r="O21" s="250">
        <f t="shared" si="1"/>
        <v>-1.2273266227704971E-2</v>
      </c>
      <c r="P21" s="122">
        <f>AVERAGE(P15:P20)</f>
        <v>15788</v>
      </c>
      <c r="Q21" s="95">
        <f>SUM(Q15:Q20)</f>
        <v>40534210</v>
      </c>
      <c r="R21" s="252">
        <f t="shared" si="2"/>
        <v>0.2097311793627481</v>
      </c>
      <c r="S21" s="122">
        <f>AVERAGE(S15:S20)</f>
        <v>18147.166666666668</v>
      </c>
      <c r="T21" s="95">
        <f>SUM(T15:T20)</f>
        <v>49707888</v>
      </c>
      <c r="U21" s="252">
        <f t="shared" si="3"/>
        <v>0.14942783548686767</v>
      </c>
      <c r="V21" s="251">
        <f>AVERAGE(V15:V20)</f>
        <v>20298.166666666668</v>
      </c>
      <c r="W21" s="95">
        <f>SUM(W15:W20)</f>
        <v>63392789.539999999</v>
      </c>
      <c r="X21" s="250">
        <f>V21/S21-1</f>
        <v>0.1185309001405177</v>
      </c>
      <c r="Y21" s="251">
        <f>AVERAGE(Y15:Y20)</f>
        <v>14437.333333333334</v>
      </c>
      <c r="Z21" s="95">
        <v>36581716.109999999</v>
      </c>
      <c r="AA21" s="368">
        <f>(Y21/V21)-1</f>
        <v>-0.28873707806123705</v>
      </c>
      <c r="AB21" s="359">
        <f>'δικ κατά μήν και κοιν 2015-2016'!W19</f>
        <v>13095.166666666666</v>
      </c>
      <c r="AC21" s="95">
        <v>32461897.300000001</v>
      </c>
      <c r="AD21" s="178">
        <f>'δικ κατά μήν και κοιν 2015-2016'!X19</f>
        <v>-9.2964998152936906E-2</v>
      </c>
      <c r="AE21" s="251">
        <f>AVERAGE(AE15:AE20)</f>
        <v>12344.333333333334</v>
      </c>
      <c r="AF21" s="95">
        <f>SUM(AF15:AF20)</f>
        <v>28405591.629999999</v>
      </c>
      <c r="AG21" s="256">
        <f>AE21/AB21-1</f>
        <v>-5.7336676381871121E-2</v>
      </c>
    </row>
    <row r="22" spans="1:33" ht="46.5" customHeight="1" thickBot="1">
      <c r="A22" s="245" t="s">
        <v>54</v>
      </c>
      <c r="B22" s="224">
        <f>AVERAGE(B14,B21)</f>
        <v>9992.5833333333321</v>
      </c>
      <c r="C22" s="257">
        <f>SUM(C14,C21)</f>
        <v>31920479.350000001</v>
      </c>
      <c r="D22" s="224">
        <f>AVERAGE(D14,D21)</f>
        <v>10141.333333333332</v>
      </c>
      <c r="E22" s="258">
        <f>SUM(E14,E21)</f>
        <v>33553246.43</v>
      </c>
      <c r="F22" s="224">
        <f>AVERAGE(F14,F21)</f>
        <v>9405.8333333333321</v>
      </c>
      <c r="G22" s="257">
        <f>SUM(G14,G21)</f>
        <v>32163012</v>
      </c>
      <c r="H22" s="224">
        <f>AVERAGE(H8:H13,H15:H20)</f>
        <v>8909.4166666666661</v>
      </c>
      <c r="I22" s="259">
        <f>SUM(I14,I21)</f>
        <v>53411625.960000001</v>
      </c>
      <c r="J22" s="224">
        <f>AVERAGE(J8:J13,J15:J20)</f>
        <v>12968.25</v>
      </c>
      <c r="K22" s="260">
        <f>SUM(K14,K21)</f>
        <v>77912833</v>
      </c>
      <c r="L22" s="249">
        <f t="shared" si="0"/>
        <v>0.45556667570828635</v>
      </c>
      <c r="M22" s="122">
        <f>AVERAGE(M8:M13,M15:M20)</f>
        <v>14168.666666666666</v>
      </c>
      <c r="N22" s="95">
        <f>SUM(N14,N21)</f>
        <v>85809196</v>
      </c>
      <c r="O22" s="250">
        <f t="shared" si="1"/>
        <v>9.2565817798597738E-2</v>
      </c>
      <c r="P22" s="122">
        <f>AVERAGE(P8:P13,P15:P20)</f>
        <v>16102.5</v>
      </c>
      <c r="Q22" s="95">
        <f>SUM(Q14,Q21)</f>
        <v>98390894</v>
      </c>
      <c r="R22" s="252">
        <f t="shared" si="2"/>
        <v>0.13648661365454284</v>
      </c>
      <c r="S22" s="122">
        <f>AVERAGE(S8:S13,S15:S20)</f>
        <v>19393.416666666668</v>
      </c>
      <c r="T22" s="95">
        <f>SUM(T14,T21)</f>
        <v>124468628</v>
      </c>
      <c r="U22" s="252">
        <f t="shared" si="3"/>
        <v>0.20437302696268711</v>
      </c>
      <c r="V22" s="261">
        <f>AVERAGE(V8:V13,V15:V20)</f>
        <v>21660.166666666668</v>
      </c>
      <c r="W22" s="95">
        <f>SUM(W14,W21)</f>
        <v>149903328.53999999</v>
      </c>
      <c r="X22" s="252">
        <f>V22/S22-1</f>
        <v>0.11688244722221031</v>
      </c>
      <c r="Y22" s="261">
        <f>AVERAGE(Y8:Y13,Y15:Y20)</f>
        <v>16563.5</v>
      </c>
      <c r="Z22" s="95">
        <v>116613815.73</v>
      </c>
      <c r="AA22" s="371">
        <f>(Y22/V22)-1</f>
        <v>-0.23530135963866083</v>
      </c>
      <c r="AB22" s="356">
        <f>'δικ κατά μήν και κοιν 2015-2016'!W20</f>
        <v>14966.5</v>
      </c>
      <c r="AC22" s="95">
        <v>97278944.120000005</v>
      </c>
      <c r="AD22" s="334">
        <f>'δικ κατά μήν και κοιν 2015-2016'!X20</f>
        <v>-9.6416820116521307E-2</v>
      </c>
      <c r="AE22" s="356">
        <f>AVERAGE(AE14,AE21)</f>
        <v>13703.166666666668</v>
      </c>
      <c r="AF22" s="95">
        <f>SUM(AF14,AF21)</f>
        <v>85249189.440000013</v>
      </c>
      <c r="AG22" s="178">
        <f>AE22/AB22-1</f>
        <v>-8.4410739540529356E-2</v>
      </c>
    </row>
    <row r="23" spans="1:33" ht="18" customHeight="1" thickBot="1">
      <c r="A23" s="262" t="s">
        <v>58</v>
      </c>
      <c r="B23" s="263"/>
      <c r="C23" s="263"/>
      <c r="D23" s="263"/>
      <c r="E23" s="263"/>
      <c r="F23" s="263"/>
      <c r="G23" s="264">
        <v>54812341</v>
      </c>
      <c r="H23" s="265"/>
      <c r="I23" s="259">
        <v>54291437</v>
      </c>
      <c r="J23" s="265"/>
      <c r="K23" s="260">
        <v>77869786</v>
      </c>
      <c r="L23" s="266"/>
      <c r="M23" s="267"/>
      <c r="N23" s="95">
        <v>85809195</v>
      </c>
      <c r="O23" s="268"/>
      <c r="P23" s="122"/>
      <c r="Q23" s="95">
        <v>98390894</v>
      </c>
      <c r="R23" s="252"/>
      <c r="S23" s="122"/>
      <c r="T23" s="95">
        <v>124468629</v>
      </c>
      <c r="U23" s="252"/>
      <c r="V23" s="261"/>
      <c r="W23" s="95">
        <v>150239188</v>
      </c>
      <c r="X23" s="252"/>
      <c r="Y23" s="261"/>
      <c r="Z23" s="95">
        <v>117040680</v>
      </c>
      <c r="AA23" s="252"/>
      <c r="AB23" s="356"/>
      <c r="AC23" s="95">
        <v>97619229</v>
      </c>
      <c r="AD23" s="178"/>
      <c r="AE23" s="356"/>
      <c r="AF23" s="367">
        <f>652607+85249189.44</f>
        <v>85901796.439999998</v>
      </c>
      <c r="AG23" s="178"/>
    </row>
    <row r="24" spans="1:33" ht="10.5" customHeight="1">
      <c r="A24" s="49"/>
      <c r="B24" s="50"/>
      <c r="C24" s="50"/>
      <c r="D24" s="50"/>
      <c r="E24" s="50"/>
      <c r="F24" s="50"/>
      <c r="G24" s="50"/>
      <c r="H24" s="46"/>
      <c r="I24" s="51"/>
      <c r="J24" s="46"/>
      <c r="K24" s="47"/>
      <c r="L24" s="41"/>
      <c r="M24" s="41"/>
      <c r="N24" s="48"/>
      <c r="O24" s="11"/>
      <c r="P24" s="11"/>
      <c r="Q24" s="52"/>
    </row>
    <row r="25" spans="1:33">
      <c r="A25" s="432" t="s">
        <v>56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</row>
    <row r="26" spans="1:33" ht="12" customHeight="1">
      <c r="A26" s="441" t="s">
        <v>57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</row>
    <row r="27" spans="1:33" ht="12.75" customHeight="1">
      <c r="A27" s="442" t="s">
        <v>55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</row>
    <row r="28" spans="1:33" ht="28.5" customHeight="1">
      <c r="A28" s="437" t="s">
        <v>136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8"/>
      <c r="AC28" s="438"/>
      <c r="AD28" s="438"/>
      <c r="AF28" s="179"/>
    </row>
    <row r="29" spans="1:33">
      <c r="A29" s="32"/>
      <c r="B29" s="31"/>
      <c r="C29" s="31"/>
      <c r="D29" s="31"/>
      <c r="E29" s="31"/>
      <c r="F29" s="415"/>
      <c r="G29" s="415"/>
      <c r="H29" s="37"/>
      <c r="N29" s="34"/>
      <c r="O29" s="34"/>
      <c r="P29" s="34"/>
      <c r="AF29" s="179"/>
    </row>
    <row r="30" spans="1:33">
      <c r="A30" s="35" t="s">
        <v>132</v>
      </c>
      <c r="B30" s="35"/>
      <c r="C30" s="35"/>
      <c r="D30" s="35"/>
      <c r="E30" s="35"/>
      <c r="F30" s="34"/>
      <c r="G30" s="34"/>
      <c r="H30" s="36"/>
      <c r="I30" s="31"/>
      <c r="J30" s="32"/>
      <c r="K30" s="34"/>
      <c r="L30" s="34"/>
      <c r="M30" s="34"/>
      <c r="N30" s="34"/>
      <c r="O30" s="43"/>
      <c r="P30" s="34"/>
      <c r="Q30" s="31"/>
      <c r="R30" s="31"/>
      <c r="S30" s="31"/>
      <c r="T30" s="31"/>
      <c r="U30" s="34"/>
      <c r="V30" s="168"/>
      <c r="W30" s="31"/>
      <c r="X30" s="31"/>
      <c r="Y30" s="31"/>
      <c r="Z30" s="34"/>
      <c r="AA30" s="31"/>
      <c r="AB30" s="361"/>
      <c r="AC30" s="176" t="s">
        <v>12</v>
      </c>
      <c r="AD30" s="31"/>
      <c r="AF30" s="179"/>
    </row>
    <row r="31" spans="1:33">
      <c r="A31" s="32">
        <f>'δικ κατά μήν και κοιν 2015-2016'!A28</f>
        <v>42786</v>
      </c>
      <c r="B31" s="31"/>
      <c r="C31" s="31"/>
      <c r="D31" s="31"/>
      <c r="E31" s="31"/>
      <c r="F31" s="415"/>
      <c r="G31" s="415"/>
      <c r="H31" s="37"/>
      <c r="I31" s="31"/>
      <c r="J31" s="31"/>
      <c r="K31" s="31"/>
      <c r="L31" s="31"/>
      <c r="M31" s="31"/>
      <c r="N31" s="34"/>
      <c r="O31" s="34"/>
      <c r="P31" s="34"/>
      <c r="Q31" s="31"/>
      <c r="R31" s="31"/>
      <c r="S31" s="31"/>
      <c r="T31" s="31"/>
      <c r="U31" s="34"/>
      <c r="V31" s="168"/>
      <c r="W31" s="31"/>
      <c r="X31" s="31"/>
      <c r="Y31" s="31"/>
      <c r="Z31" s="34"/>
      <c r="AA31" s="31"/>
      <c r="AB31" s="361"/>
      <c r="AC31" s="176" t="s">
        <v>11</v>
      </c>
      <c r="AD31" s="31"/>
      <c r="AF31" s="179"/>
    </row>
    <row r="32" spans="1:33">
      <c r="A32" s="32"/>
      <c r="B32" s="31"/>
      <c r="C32" s="31"/>
      <c r="D32" s="31"/>
      <c r="E32" s="31"/>
      <c r="F32" s="415"/>
      <c r="G32" s="415"/>
      <c r="H32" s="37"/>
      <c r="I32" s="31"/>
      <c r="J32" s="31"/>
      <c r="K32" s="31"/>
      <c r="L32" s="31"/>
      <c r="M32" s="31"/>
      <c r="N32" s="34"/>
      <c r="O32" s="34"/>
      <c r="P32" s="34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61"/>
      <c r="AC32" s="31"/>
      <c r="AD32" s="31"/>
      <c r="AF32" s="179"/>
    </row>
    <row r="36" spans="1:1">
      <c r="A36" s="21"/>
    </row>
  </sheetData>
  <mergeCells count="37">
    <mergeCell ref="AE4:AF4"/>
    <mergeCell ref="AG4:AG7"/>
    <mergeCell ref="AF5:AF6"/>
    <mergeCell ref="F32:G32"/>
    <mergeCell ref="Q5:Q6"/>
    <mergeCell ref="F29:G29"/>
    <mergeCell ref="F31:G31"/>
    <mergeCell ref="A26:AA26"/>
    <mergeCell ref="A27:AA27"/>
    <mergeCell ref="Z5:Z6"/>
    <mergeCell ref="I5:I6"/>
    <mergeCell ref="L4:L7"/>
    <mergeCell ref="S4:T4"/>
    <mergeCell ref="K5:K6"/>
    <mergeCell ref="AB4:AC4"/>
    <mergeCell ref="AD4:AD7"/>
    <mergeCell ref="AC5:AC6"/>
    <mergeCell ref="F4:G4"/>
    <mergeCell ref="A28:AD28"/>
    <mergeCell ref="Y4:Z4"/>
    <mergeCell ref="M4:N4"/>
    <mergeCell ref="J4:K4"/>
    <mergeCell ref="A2:AA2"/>
    <mergeCell ref="A25:AA25"/>
    <mergeCell ref="AA4:AA7"/>
    <mergeCell ref="B4:C4"/>
    <mergeCell ref="D4:E4"/>
    <mergeCell ref="P4:Q4"/>
    <mergeCell ref="T5:T6"/>
    <mergeCell ref="R4:R7"/>
    <mergeCell ref="H4:I4"/>
    <mergeCell ref="V4:W4"/>
    <mergeCell ref="X4:X7"/>
    <mergeCell ref="W5:W6"/>
    <mergeCell ref="N5:N6"/>
    <mergeCell ref="O4:O7"/>
    <mergeCell ref="U4:U7"/>
  </mergeCells>
  <phoneticPr fontId="0" type="noConversion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topLeftCell="A16" workbookViewId="0">
      <selection activeCell="C36" sqref="C36"/>
    </sheetView>
  </sheetViews>
  <sheetFormatPr defaultRowHeight="12.75"/>
  <cols>
    <col min="1" max="1" width="5.5703125" customWidth="1"/>
    <col min="2" max="2" width="58" customWidth="1"/>
    <col min="3" max="7" width="12.7109375" customWidth="1"/>
    <col min="8" max="8" width="11" customWidth="1"/>
  </cols>
  <sheetData>
    <row r="1" spans="1:8" ht="19.5" customHeight="1">
      <c r="A1" s="123" t="s">
        <v>107</v>
      </c>
      <c r="B1" s="96"/>
    </row>
    <row r="2" spans="1:8" ht="28.5" customHeight="1">
      <c r="A2" s="444" t="s">
        <v>124</v>
      </c>
      <c r="B2" s="444"/>
      <c r="C2" s="444"/>
      <c r="D2" s="444"/>
      <c r="E2" s="444"/>
      <c r="F2" s="444"/>
      <c r="G2" s="444"/>
      <c r="H2" s="444"/>
    </row>
    <row r="3" spans="1:8" ht="6" customHeight="1" thickBot="1">
      <c r="A3" s="443"/>
      <c r="B3" s="443"/>
      <c r="C3" s="443"/>
    </row>
    <row r="4" spans="1:8" ht="15.75" customHeight="1">
      <c r="A4" s="273"/>
      <c r="B4" s="274"/>
      <c r="C4" s="446" t="s">
        <v>62</v>
      </c>
      <c r="D4" s="446"/>
      <c r="E4" s="446"/>
      <c r="F4" s="446"/>
      <c r="G4" s="446"/>
      <c r="H4" s="447"/>
    </row>
    <row r="5" spans="1:8" ht="17.25" customHeight="1">
      <c r="A5" s="275" t="s">
        <v>63</v>
      </c>
      <c r="B5" s="276" t="s">
        <v>64</v>
      </c>
      <c r="C5" s="449" t="s">
        <v>65</v>
      </c>
      <c r="D5" s="449"/>
      <c r="E5" s="450" t="s">
        <v>66</v>
      </c>
      <c r="F5" s="450"/>
      <c r="G5" s="451" t="s">
        <v>6</v>
      </c>
      <c r="H5" s="445" t="s">
        <v>116</v>
      </c>
    </row>
    <row r="6" spans="1:8" ht="24">
      <c r="A6" s="210"/>
      <c r="B6" s="211"/>
      <c r="C6" s="277" t="s">
        <v>67</v>
      </c>
      <c r="D6" s="278" t="s">
        <v>68</v>
      </c>
      <c r="E6" s="278" t="s">
        <v>68</v>
      </c>
      <c r="F6" s="278" t="s">
        <v>69</v>
      </c>
      <c r="G6" s="451"/>
      <c r="H6" s="445"/>
    </row>
    <row r="7" spans="1:8" ht="15" customHeight="1">
      <c r="A7" s="279">
        <v>1</v>
      </c>
      <c r="B7" s="280" t="s">
        <v>70</v>
      </c>
      <c r="C7" s="269">
        <v>0</v>
      </c>
      <c r="D7" s="64">
        <v>0</v>
      </c>
      <c r="E7" s="65">
        <v>0</v>
      </c>
      <c r="F7" s="65">
        <v>126</v>
      </c>
      <c r="G7" s="64">
        <f>C7+D7+E7+F7</f>
        <v>126</v>
      </c>
      <c r="H7" s="125">
        <f>G7/G30</f>
        <v>4.4807965860597437E-3</v>
      </c>
    </row>
    <row r="8" spans="1:8" ht="15" customHeight="1">
      <c r="A8" s="279">
        <v>2</v>
      </c>
      <c r="B8" s="280" t="s">
        <v>71</v>
      </c>
      <c r="C8" s="269">
        <v>0</v>
      </c>
      <c r="D8" s="64">
        <v>0</v>
      </c>
      <c r="E8" s="65">
        <v>0</v>
      </c>
      <c r="F8" s="65">
        <v>18</v>
      </c>
      <c r="G8" s="64">
        <f t="shared" ref="G8:G29" si="0">C8+D8+E8+F8</f>
        <v>18</v>
      </c>
      <c r="H8" s="125">
        <f>G8/G30</f>
        <v>6.4011379800853489E-4</v>
      </c>
    </row>
    <row r="9" spans="1:8" ht="15" customHeight="1">
      <c r="A9" s="279">
        <v>3</v>
      </c>
      <c r="B9" s="280" t="s">
        <v>72</v>
      </c>
      <c r="C9" s="269">
        <v>33</v>
      </c>
      <c r="D9" s="64">
        <v>0</v>
      </c>
      <c r="E9" s="65">
        <v>5</v>
      </c>
      <c r="F9" s="65">
        <f>1216+1</f>
        <v>1217</v>
      </c>
      <c r="G9" s="64">
        <f t="shared" si="0"/>
        <v>1255</v>
      </c>
      <c r="H9" s="125">
        <f>G9/G30</f>
        <v>4.4630156472261734E-2</v>
      </c>
    </row>
    <row r="10" spans="1:8" ht="25.5">
      <c r="A10" s="279">
        <v>4</v>
      </c>
      <c r="B10" s="280" t="s">
        <v>73</v>
      </c>
      <c r="C10" s="270">
        <v>0</v>
      </c>
      <c r="D10" s="67">
        <v>0</v>
      </c>
      <c r="E10" s="68">
        <v>0</v>
      </c>
      <c r="F10" s="60">
        <v>40</v>
      </c>
      <c r="G10" s="64">
        <f t="shared" si="0"/>
        <v>40</v>
      </c>
      <c r="H10" s="125">
        <f>G10/G30</f>
        <v>1.4224751066856331E-3</v>
      </c>
    </row>
    <row r="11" spans="1:8" ht="26.25" customHeight="1">
      <c r="A11" s="279">
        <v>5</v>
      </c>
      <c r="B11" s="280" t="s">
        <v>74</v>
      </c>
      <c r="C11" s="269">
        <v>0</v>
      </c>
      <c r="D11" s="64">
        <v>0</v>
      </c>
      <c r="E11" s="65">
        <v>0</v>
      </c>
      <c r="F11" s="65">
        <v>6</v>
      </c>
      <c r="G11" s="64">
        <f t="shared" si="0"/>
        <v>6</v>
      </c>
      <c r="H11" s="125">
        <f>G11/G30</f>
        <v>2.1337126600284495E-4</v>
      </c>
    </row>
    <row r="12" spans="1:8" ht="15.75" customHeight="1">
      <c r="A12" s="279">
        <v>6</v>
      </c>
      <c r="B12" s="280" t="s">
        <v>75</v>
      </c>
      <c r="C12" s="270">
        <v>0</v>
      </c>
      <c r="D12" s="59">
        <v>1</v>
      </c>
      <c r="E12" s="60">
        <v>20</v>
      </c>
      <c r="F12" s="60">
        <f>1295+1</f>
        <v>1296</v>
      </c>
      <c r="G12" s="64">
        <f t="shared" si="0"/>
        <v>1317</v>
      </c>
      <c r="H12" s="125">
        <f>G12/G30</f>
        <v>4.6834992887624466E-2</v>
      </c>
    </row>
    <row r="13" spans="1:8" ht="27.75" customHeight="1">
      <c r="A13" s="279">
        <v>7</v>
      </c>
      <c r="B13" s="280" t="s">
        <v>76</v>
      </c>
      <c r="C13" s="270">
        <v>0</v>
      </c>
      <c r="D13" s="59">
        <v>236</v>
      </c>
      <c r="E13" s="60">
        <v>46</v>
      </c>
      <c r="F13" s="60">
        <f>3471+4</f>
        <v>3475</v>
      </c>
      <c r="G13" s="64">
        <f t="shared" si="0"/>
        <v>3757</v>
      </c>
      <c r="H13" s="125">
        <f>G13/G30</f>
        <v>0.13360597439544808</v>
      </c>
    </row>
    <row r="14" spans="1:8" ht="15" customHeight="1">
      <c r="A14" s="279">
        <v>8</v>
      </c>
      <c r="B14" s="280" t="s">
        <v>77</v>
      </c>
      <c r="C14" s="270">
        <v>0</v>
      </c>
      <c r="D14" s="59">
        <v>40</v>
      </c>
      <c r="E14" s="59">
        <v>12</v>
      </c>
      <c r="F14" s="60">
        <f>1289+2</f>
        <v>1291</v>
      </c>
      <c r="G14" s="64">
        <f t="shared" si="0"/>
        <v>1343</v>
      </c>
      <c r="H14" s="125">
        <f>G14/G30</f>
        <v>4.7759601706970127E-2</v>
      </c>
    </row>
    <row r="15" spans="1:8" ht="25.5">
      <c r="A15" s="279">
        <v>9</v>
      </c>
      <c r="B15" s="280" t="s">
        <v>78</v>
      </c>
      <c r="C15" s="269">
        <v>0</v>
      </c>
      <c r="D15" s="64">
        <v>4177</v>
      </c>
      <c r="E15" s="65">
        <v>5098</v>
      </c>
      <c r="F15" s="65">
        <f>3431+9</f>
        <v>3440</v>
      </c>
      <c r="G15" s="64">
        <f t="shared" si="0"/>
        <v>12715</v>
      </c>
      <c r="H15" s="125">
        <f>G15/G30</f>
        <v>0.45216927453769556</v>
      </c>
    </row>
    <row r="16" spans="1:8" ht="15" customHeight="1">
      <c r="A16" s="279">
        <v>10</v>
      </c>
      <c r="B16" s="280" t="s">
        <v>79</v>
      </c>
      <c r="C16" s="269">
        <v>0</v>
      </c>
      <c r="D16" s="64">
        <v>0</v>
      </c>
      <c r="E16" s="65">
        <v>0</v>
      </c>
      <c r="F16" s="65">
        <v>335</v>
      </c>
      <c r="G16" s="64">
        <f t="shared" si="0"/>
        <v>335</v>
      </c>
      <c r="H16" s="125">
        <f>G16/G30</f>
        <v>1.1913229018492176E-2</v>
      </c>
    </row>
    <row r="17" spans="1:8" ht="15" customHeight="1">
      <c r="A17" s="279">
        <v>11</v>
      </c>
      <c r="B17" s="280" t="s">
        <v>80</v>
      </c>
      <c r="C17" s="269">
        <v>0</v>
      </c>
      <c r="D17" s="64">
        <v>0</v>
      </c>
      <c r="E17" s="65">
        <v>0</v>
      </c>
      <c r="F17" s="60">
        <v>310</v>
      </c>
      <c r="G17" s="64">
        <f t="shared" si="0"/>
        <v>310</v>
      </c>
      <c r="H17" s="125">
        <f>G17/G30</f>
        <v>1.1024182076813657E-2</v>
      </c>
    </row>
    <row r="18" spans="1:8" ht="15" customHeight="1">
      <c r="A18" s="279">
        <v>12</v>
      </c>
      <c r="B18" s="280" t="s">
        <v>81</v>
      </c>
      <c r="C18" s="269">
        <v>0</v>
      </c>
      <c r="D18" s="64">
        <v>10</v>
      </c>
      <c r="E18" s="65">
        <v>25</v>
      </c>
      <c r="F18" s="65">
        <v>172</v>
      </c>
      <c r="G18" s="64">
        <f t="shared" si="0"/>
        <v>207</v>
      </c>
      <c r="H18" s="125">
        <f>G18/G30</f>
        <v>7.3613086770981506E-3</v>
      </c>
    </row>
    <row r="19" spans="1:8" ht="15" customHeight="1">
      <c r="A19" s="279">
        <v>13</v>
      </c>
      <c r="B19" s="280" t="s">
        <v>82</v>
      </c>
      <c r="C19" s="269">
        <v>0</v>
      </c>
      <c r="D19" s="64">
        <v>0</v>
      </c>
      <c r="E19" s="65">
        <v>1</v>
      </c>
      <c r="F19" s="65">
        <v>756</v>
      </c>
      <c r="G19" s="64">
        <f t="shared" si="0"/>
        <v>757</v>
      </c>
      <c r="H19" s="125">
        <f>G19/G30</f>
        <v>2.6920341394025604E-2</v>
      </c>
    </row>
    <row r="20" spans="1:8" ht="15" customHeight="1">
      <c r="A20" s="279">
        <v>14</v>
      </c>
      <c r="B20" s="280" t="s">
        <v>83</v>
      </c>
      <c r="C20" s="269">
        <v>0</v>
      </c>
      <c r="D20" s="64">
        <v>54</v>
      </c>
      <c r="E20" s="65">
        <v>22</v>
      </c>
      <c r="F20" s="65">
        <v>733</v>
      </c>
      <c r="G20" s="64">
        <f t="shared" si="0"/>
        <v>809</v>
      </c>
      <c r="H20" s="125">
        <f>G20/G30</f>
        <v>2.8769559032716926E-2</v>
      </c>
    </row>
    <row r="21" spans="1:8" ht="15" customHeight="1">
      <c r="A21" s="281">
        <v>15</v>
      </c>
      <c r="B21" s="280" t="s">
        <v>84</v>
      </c>
      <c r="C21" s="269">
        <v>0</v>
      </c>
      <c r="D21" s="64">
        <v>17</v>
      </c>
      <c r="E21" s="65">
        <v>1</v>
      </c>
      <c r="F21" s="65">
        <f>1947+1</f>
        <v>1948</v>
      </c>
      <c r="G21" s="64">
        <f t="shared" si="0"/>
        <v>1966</v>
      </c>
      <c r="H21" s="125">
        <f>G21/G30</f>
        <v>6.9914651493598864E-2</v>
      </c>
    </row>
    <row r="22" spans="1:8" ht="15" customHeight="1">
      <c r="A22" s="279">
        <v>16</v>
      </c>
      <c r="B22" s="280" t="s">
        <v>85</v>
      </c>
      <c r="C22" s="269">
        <v>0</v>
      </c>
      <c r="D22" s="64">
        <v>9</v>
      </c>
      <c r="E22" s="65">
        <v>2</v>
      </c>
      <c r="F22" s="65">
        <v>319</v>
      </c>
      <c r="G22" s="64">
        <f t="shared" si="0"/>
        <v>330</v>
      </c>
      <c r="H22" s="125">
        <f>G22/G30</f>
        <v>1.1735419630156473E-2</v>
      </c>
    </row>
    <row r="23" spans="1:8" ht="15" customHeight="1">
      <c r="A23" s="281">
        <v>17</v>
      </c>
      <c r="B23" s="280" t="s">
        <v>86</v>
      </c>
      <c r="C23" s="269">
        <v>0</v>
      </c>
      <c r="D23" s="64">
        <v>0</v>
      </c>
      <c r="E23" s="65">
        <v>2</v>
      </c>
      <c r="F23" s="65">
        <v>277</v>
      </c>
      <c r="G23" s="64">
        <f t="shared" si="0"/>
        <v>279</v>
      </c>
      <c r="H23" s="125">
        <f>G23/G30</f>
        <v>9.9217638691322906E-3</v>
      </c>
    </row>
    <row r="24" spans="1:8" ht="15" customHeight="1">
      <c r="A24" s="279">
        <v>18</v>
      </c>
      <c r="B24" s="282" t="s">
        <v>87</v>
      </c>
      <c r="C24" s="269">
        <v>0</v>
      </c>
      <c r="D24" s="64">
        <v>47</v>
      </c>
      <c r="E24" s="65">
        <v>7</v>
      </c>
      <c r="F24" s="65">
        <v>386</v>
      </c>
      <c r="G24" s="64">
        <f t="shared" si="0"/>
        <v>440</v>
      </c>
      <c r="H24" s="125">
        <f>G24/G30</f>
        <v>1.5647226173541962E-2</v>
      </c>
    </row>
    <row r="25" spans="1:8" ht="15" customHeight="1">
      <c r="A25" s="279">
        <v>19</v>
      </c>
      <c r="B25" s="282" t="s">
        <v>88</v>
      </c>
      <c r="C25" s="269">
        <v>0</v>
      </c>
      <c r="D25" s="64">
        <v>17</v>
      </c>
      <c r="E25" s="65">
        <v>34</v>
      </c>
      <c r="F25" s="65">
        <v>377</v>
      </c>
      <c r="G25" s="64">
        <f t="shared" si="0"/>
        <v>428</v>
      </c>
      <c r="H25" s="125">
        <f>G25/G30</f>
        <v>1.5220483641536274E-2</v>
      </c>
    </row>
    <row r="26" spans="1:8" ht="36.75" customHeight="1">
      <c r="A26" s="281">
        <v>20</v>
      </c>
      <c r="B26" s="282" t="s">
        <v>89</v>
      </c>
      <c r="C26" s="269">
        <v>0</v>
      </c>
      <c r="D26" s="64">
        <v>0</v>
      </c>
      <c r="E26" s="65">
        <v>0</v>
      </c>
      <c r="F26" s="65">
        <v>27</v>
      </c>
      <c r="G26" s="64">
        <f t="shared" si="0"/>
        <v>27</v>
      </c>
      <c r="H26" s="125">
        <f>G26/G30</f>
        <v>9.6017069701280228E-4</v>
      </c>
    </row>
    <row r="27" spans="1:8" ht="15" customHeight="1">
      <c r="A27" s="279">
        <v>21</v>
      </c>
      <c r="B27" s="282" t="s">
        <v>90</v>
      </c>
      <c r="C27" s="269">
        <v>0</v>
      </c>
      <c r="D27" s="64">
        <v>0</v>
      </c>
      <c r="E27" s="65">
        <v>0</v>
      </c>
      <c r="F27" s="65">
        <v>20</v>
      </c>
      <c r="G27" s="64">
        <f t="shared" si="0"/>
        <v>20</v>
      </c>
      <c r="H27" s="125">
        <f>G27/G30</f>
        <v>7.1123755334281653E-4</v>
      </c>
    </row>
    <row r="28" spans="1:8" ht="15" customHeight="1">
      <c r="A28" s="279">
        <v>22</v>
      </c>
      <c r="B28" s="283" t="s">
        <v>91</v>
      </c>
      <c r="C28" s="269">
        <v>0</v>
      </c>
      <c r="D28" s="64">
        <v>10</v>
      </c>
      <c r="E28" s="65">
        <v>83</v>
      </c>
      <c r="F28" s="65">
        <f>1511+25</f>
        <v>1536</v>
      </c>
      <c r="G28" s="64">
        <f t="shared" si="0"/>
        <v>1629</v>
      </c>
      <c r="H28" s="125">
        <f>G28/G30</f>
        <v>5.7930298719772406E-2</v>
      </c>
    </row>
    <row r="29" spans="1:8" ht="15" customHeight="1">
      <c r="A29" s="279">
        <v>23</v>
      </c>
      <c r="B29" s="283" t="s">
        <v>92</v>
      </c>
      <c r="C29" s="269">
        <v>0</v>
      </c>
      <c r="D29" s="64">
        <v>0</v>
      </c>
      <c r="E29" s="65">
        <v>0</v>
      </c>
      <c r="F29" s="65">
        <v>6</v>
      </c>
      <c r="G29" s="64">
        <f t="shared" si="0"/>
        <v>6</v>
      </c>
      <c r="H29" s="125">
        <f>G29/G30</f>
        <v>2.1337126600284495E-4</v>
      </c>
    </row>
    <row r="30" spans="1:8" ht="15" customHeight="1" thickBot="1">
      <c r="A30" s="284"/>
      <c r="B30" s="285" t="s">
        <v>6</v>
      </c>
      <c r="C30" s="271">
        <f>SUM(C7:C29)</f>
        <v>33</v>
      </c>
      <c r="D30" s="271">
        <f>SUM(D7:D29)</f>
        <v>4618</v>
      </c>
      <c r="E30" s="271">
        <f>SUM(E7:E29)</f>
        <v>5358</v>
      </c>
      <c r="F30" s="271">
        <f>SUM(F7:F29)</f>
        <v>18111</v>
      </c>
      <c r="G30" s="271">
        <f>SUM(G7:G29)</f>
        <v>28120</v>
      </c>
      <c r="H30" s="272">
        <f>G30/G30</f>
        <v>1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31" t="s">
        <v>128</v>
      </c>
      <c r="B32" s="31"/>
      <c r="C32" s="31"/>
      <c r="D32" s="31"/>
      <c r="E32" s="31"/>
      <c r="F32" s="31"/>
      <c r="G32" s="78" t="s">
        <v>12</v>
      </c>
      <c r="H32" s="31"/>
    </row>
    <row r="33" spans="1:8">
      <c r="A33" s="448">
        <v>42445</v>
      </c>
      <c r="B33" s="448"/>
      <c r="C33" s="31"/>
      <c r="D33" s="31"/>
      <c r="E33" s="31"/>
      <c r="F33" s="31"/>
      <c r="G33" s="78" t="s">
        <v>93</v>
      </c>
      <c r="H33" s="31"/>
    </row>
  </sheetData>
  <mergeCells count="8">
    <mergeCell ref="A3:C3"/>
    <mergeCell ref="A2:H2"/>
    <mergeCell ref="H5:H6"/>
    <mergeCell ref="C4:H4"/>
    <mergeCell ref="A33:B33"/>
    <mergeCell ref="C5:D5"/>
    <mergeCell ref="E5:F5"/>
    <mergeCell ref="G5:G6"/>
  </mergeCells>
  <pageMargins left="0.31496062992125984" right="0.31496062992125984" top="0.35433070866141736" bottom="0.35433070866141736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topLeftCell="A20" workbookViewId="0">
      <selection activeCell="B32" sqref="B32"/>
    </sheetView>
  </sheetViews>
  <sheetFormatPr defaultRowHeight="12.75"/>
  <cols>
    <col min="1" max="1" width="5.5703125" customWidth="1"/>
    <col min="2" max="2" width="61.28515625" customWidth="1"/>
    <col min="3" max="3" width="12.42578125" customWidth="1"/>
    <col min="4" max="4" width="11.7109375" customWidth="1"/>
    <col min="5" max="5" width="12" customWidth="1"/>
    <col min="6" max="6" width="11.42578125" customWidth="1"/>
    <col min="7" max="7" width="12.7109375" customWidth="1"/>
    <col min="8" max="8" width="10.42578125" customWidth="1"/>
  </cols>
  <sheetData>
    <row r="1" spans="1:8">
      <c r="A1" s="123" t="s">
        <v>108</v>
      </c>
    </row>
    <row r="2" spans="1:8" ht="27" customHeight="1">
      <c r="A2" s="444" t="s">
        <v>133</v>
      </c>
      <c r="B2" s="444"/>
      <c r="C2" s="444"/>
      <c r="D2" s="444"/>
      <c r="E2" s="444"/>
      <c r="F2" s="444"/>
      <c r="G2" s="444"/>
      <c r="H2" s="444"/>
    </row>
    <row r="3" spans="1:8" ht="9" customHeight="1" thickBot="1">
      <c r="A3" s="443"/>
      <c r="B3" s="443"/>
      <c r="C3" s="443"/>
    </row>
    <row r="4" spans="1:8" ht="15" customHeight="1">
      <c r="A4" s="273"/>
      <c r="B4" s="274"/>
      <c r="C4" s="446" t="s">
        <v>62</v>
      </c>
      <c r="D4" s="446"/>
      <c r="E4" s="446"/>
      <c r="F4" s="446"/>
      <c r="G4" s="446"/>
      <c r="H4" s="452" t="s">
        <v>96</v>
      </c>
    </row>
    <row r="5" spans="1:8" ht="15" customHeight="1">
      <c r="A5" s="275" t="s">
        <v>63</v>
      </c>
      <c r="B5" s="276" t="s">
        <v>64</v>
      </c>
      <c r="C5" s="449" t="s">
        <v>65</v>
      </c>
      <c r="D5" s="449"/>
      <c r="E5" s="450" t="s">
        <v>66</v>
      </c>
      <c r="F5" s="450"/>
      <c r="G5" s="451" t="s">
        <v>6</v>
      </c>
      <c r="H5" s="453"/>
    </row>
    <row r="6" spans="1:8" ht="22.5" customHeight="1">
      <c r="A6" s="210"/>
      <c r="B6" s="211"/>
      <c r="C6" s="277" t="s">
        <v>67</v>
      </c>
      <c r="D6" s="278" t="s">
        <v>68</v>
      </c>
      <c r="E6" s="278" t="s">
        <v>68</v>
      </c>
      <c r="F6" s="278" t="s">
        <v>69</v>
      </c>
      <c r="G6" s="451"/>
      <c r="H6" s="453"/>
    </row>
    <row r="7" spans="1:8" ht="15" customHeight="1">
      <c r="A7" s="279">
        <v>1</v>
      </c>
      <c r="B7" s="280" t="s">
        <v>70</v>
      </c>
      <c r="C7" s="269">
        <v>0</v>
      </c>
      <c r="D7" s="269">
        <v>0</v>
      </c>
      <c r="E7" s="65">
        <v>0</v>
      </c>
      <c r="F7" s="65">
        <v>115</v>
      </c>
      <c r="G7" s="64">
        <f>C7+D7+E7+F7</f>
        <v>115</v>
      </c>
      <c r="H7" s="84">
        <f>G7/G30</f>
        <v>4.1067028532657214E-3</v>
      </c>
    </row>
    <row r="8" spans="1:8" ht="15" customHeight="1">
      <c r="A8" s="279">
        <v>2</v>
      </c>
      <c r="B8" s="280" t="s">
        <v>71</v>
      </c>
      <c r="C8" s="269">
        <v>0</v>
      </c>
      <c r="D8" s="270">
        <v>0</v>
      </c>
      <c r="E8" s="65">
        <v>0</v>
      </c>
      <c r="F8" s="288">
        <v>19</v>
      </c>
      <c r="G8" s="64">
        <f t="shared" ref="G8:G29" si="0">C8+D8+E8+F8</f>
        <v>19</v>
      </c>
      <c r="H8" s="84">
        <f>G8/G30</f>
        <v>6.7849873227868445E-4</v>
      </c>
    </row>
    <row r="9" spans="1:8" ht="15" customHeight="1">
      <c r="A9" s="279">
        <v>3</v>
      </c>
      <c r="B9" s="280" t="s">
        <v>72</v>
      </c>
      <c r="C9" s="269">
        <v>49</v>
      </c>
      <c r="D9" s="269">
        <v>0</v>
      </c>
      <c r="E9" s="65">
        <v>5</v>
      </c>
      <c r="F9" s="288">
        <f>1203+1</f>
        <v>1204</v>
      </c>
      <c r="G9" s="64">
        <f t="shared" si="0"/>
        <v>1258</v>
      </c>
      <c r="H9" s="84">
        <f>G9/G30</f>
        <v>4.4923758168767633E-2</v>
      </c>
    </row>
    <row r="10" spans="1:8" ht="15.75" customHeight="1">
      <c r="A10" s="279">
        <v>4</v>
      </c>
      <c r="B10" s="280" t="s">
        <v>73</v>
      </c>
      <c r="C10" s="270">
        <v>0</v>
      </c>
      <c r="D10" s="270">
        <v>0</v>
      </c>
      <c r="E10" s="68">
        <v>0</v>
      </c>
      <c r="F10" s="60">
        <v>33</v>
      </c>
      <c r="G10" s="64">
        <f t="shared" si="0"/>
        <v>33</v>
      </c>
      <c r="H10" s="84">
        <f>G10/G30</f>
        <v>1.178445166589294E-3</v>
      </c>
    </row>
    <row r="11" spans="1:8" ht="24.75" customHeight="1">
      <c r="A11" s="279">
        <v>5</v>
      </c>
      <c r="B11" s="280" t="s">
        <v>74</v>
      </c>
      <c r="C11" s="269">
        <v>0</v>
      </c>
      <c r="D11" s="270">
        <v>0</v>
      </c>
      <c r="E11" s="65">
        <v>0</v>
      </c>
      <c r="F11" s="65">
        <v>7</v>
      </c>
      <c r="G11" s="64">
        <f t="shared" si="0"/>
        <v>7</v>
      </c>
      <c r="H11" s="84">
        <f>G11/G30</f>
        <v>2.4997321715530477E-4</v>
      </c>
    </row>
    <row r="12" spans="1:8" ht="15" customHeight="1">
      <c r="A12" s="279">
        <v>6</v>
      </c>
      <c r="B12" s="286" t="s">
        <v>75</v>
      </c>
      <c r="C12" s="270">
        <v>0</v>
      </c>
      <c r="D12" s="270">
        <v>1</v>
      </c>
      <c r="E12" s="68">
        <v>20</v>
      </c>
      <c r="F12" s="332">
        <f>2+1271</f>
        <v>1273</v>
      </c>
      <c r="G12" s="67">
        <f t="shared" si="0"/>
        <v>1294</v>
      </c>
      <c r="H12" s="85">
        <f>G12/G30</f>
        <v>4.6209334714137767E-2</v>
      </c>
    </row>
    <row r="13" spans="1:8" ht="25.5" customHeight="1">
      <c r="A13" s="279">
        <v>7</v>
      </c>
      <c r="B13" s="286" t="s">
        <v>76</v>
      </c>
      <c r="C13" s="270">
        <v>0</v>
      </c>
      <c r="D13" s="270">
        <v>231</v>
      </c>
      <c r="E13" s="68">
        <v>46</v>
      </c>
      <c r="F13" s="332">
        <f>3514+2</f>
        <v>3516</v>
      </c>
      <c r="G13" s="67">
        <f t="shared" si="0"/>
        <v>3793</v>
      </c>
      <c r="H13" s="85">
        <f>G13/G30</f>
        <v>0.13544977323858157</v>
      </c>
    </row>
    <row r="14" spans="1:8" ht="15" customHeight="1">
      <c r="A14" s="279">
        <v>8</v>
      </c>
      <c r="B14" s="280" t="s">
        <v>77</v>
      </c>
      <c r="C14" s="270">
        <v>0</v>
      </c>
      <c r="D14" s="269">
        <v>38</v>
      </c>
      <c r="E14" s="59">
        <v>10</v>
      </c>
      <c r="F14" s="333">
        <f>1+1262</f>
        <v>1263</v>
      </c>
      <c r="G14" s="64">
        <f t="shared" si="0"/>
        <v>1311</v>
      </c>
      <c r="H14" s="84">
        <f>G14/G30</f>
        <v>4.6816412527229227E-2</v>
      </c>
    </row>
    <row r="15" spans="1:8" ht="24.75" customHeight="1">
      <c r="A15" s="279">
        <v>9</v>
      </c>
      <c r="B15" s="286" t="s">
        <v>78</v>
      </c>
      <c r="C15" s="270">
        <v>0</v>
      </c>
      <c r="D15" s="269">
        <v>4295</v>
      </c>
      <c r="E15" s="68">
        <v>4910</v>
      </c>
      <c r="F15" s="332">
        <f>3439+17</f>
        <v>3456</v>
      </c>
      <c r="G15" s="67">
        <f t="shared" si="0"/>
        <v>12661</v>
      </c>
      <c r="H15" s="85">
        <f>G15/G30</f>
        <v>0.45213012891475912</v>
      </c>
    </row>
    <row r="16" spans="1:8" ht="15" customHeight="1">
      <c r="A16" s="279">
        <v>10</v>
      </c>
      <c r="B16" s="280" t="s">
        <v>79</v>
      </c>
      <c r="C16" s="269">
        <v>0</v>
      </c>
      <c r="D16" s="269">
        <v>0</v>
      </c>
      <c r="E16" s="65">
        <v>0</v>
      </c>
      <c r="F16" s="65">
        <v>299</v>
      </c>
      <c r="G16" s="64">
        <f t="shared" si="0"/>
        <v>299</v>
      </c>
      <c r="H16" s="84">
        <f>G16/G30</f>
        <v>1.0677427418490875E-2</v>
      </c>
    </row>
    <row r="17" spans="1:8" ht="15" customHeight="1">
      <c r="A17" s="279">
        <v>11</v>
      </c>
      <c r="B17" s="280" t="s">
        <v>80</v>
      </c>
      <c r="C17" s="269">
        <v>0</v>
      </c>
      <c r="D17" s="269">
        <v>0</v>
      </c>
      <c r="E17" s="65">
        <v>0</v>
      </c>
      <c r="F17" s="333">
        <f>1+323</f>
        <v>324</v>
      </c>
      <c r="G17" s="64">
        <f t="shared" si="0"/>
        <v>324</v>
      </c>
      <c r="H17" s="84">
        <f>G17/G30</f>
        <v>1.1570188908331251E-2</v>
      </c>
    </row>
    <row r="18" spans="1:8" ht="15" customHeight="1">
      <c r="A18" s="279">
        <v>12</v>
      </c>
      <c r="B18" s="280" t="s">
        <v>81</v>
      </c>
      <c r="C18" s="269">
        <v>0</v>
      </c>
      <c r="D18" s="269">
        <v>10</v>
      </c>
      <c r="E18" s="65">
        <v>24</v>
      </c>
      <c r="F18" s="65">
        <v>185</v>
      </c>
      <c r="G18" s="64">
        <f t="shared" si="0"/>
        <v>219</v>
      </c>
      <c r="H18" s="84">
        <f>G18/G30</f>
        <v>7.8205906510016784E-3</v>
      </c>
    </row>
    <row r="19" spans="1:8" ht="15" customHeight="1">
      <c r="A19" s="279">
        <v>13</v>
      </c>
      <c r="B19" s="280" t="s">
        <v>82</v>
      </c>
      <c r="C19" s="269">
        <v>0</v>
      </c>
      <c r="D19" s="269">
        <v>0</v>
      </c>
      <c r="E19" s="65">
        <v>1</v>
      </c>
      <c r="F19" s="65">
        <v>739</v>
      </c>
      <c r="G19" s="64">
        <f t="shared" si="0"/>
        <v>740</v>
      </c>
      <c r="H19" s="84">
        <f>G19/G30</f>
        <v>2.6425740099275077E-2</v>
      </c>
    </row>
    <row r="20" spans="1:8" ht="15" customHeight="1">
      <c r="A20" s="279">
        <v>14</v>
      </c>
      <c r="B20" s="280" t="s">
        <v>83</v>
      </c>
      <c r="C20" s="269">
        <v>0</v>
      </c>
      <c r="D20" s="269">
        <v>52</v>
      </c>
      <c r="E20" s="65">
        <v>22</v>
      </c>
      <c r="F20" s="288">
        <f>723+1</f>
        <v>724</v>
      </c>
      <c r="G20" s="64">
        <f t="shared" si="0"/>
        <v>798</v>
      </c>
      <c r="H20" s="84">
        <f>G20/G30</f>
        <v>2.8496946755704747E-2</v>
      </c>
    </row>
    <row r="21" spans="1:8" ht="15" customHeight="1">
      <c r="A21" s="281">
        <v>15</v>
      </c>
      <c r="B21" s="280" t="s">
        <v>84</v>
      </c>
      <c r="C21" s="269">
        <v>0</v>
      </c>
      <c r="D21" s="269">
        <v>17</v>
      </c>
      <c r="E21" s="65">
        <v>1</v>
      </c>
      <c r="F21" s="288">
        <f>1+1957</f>
        <v>1958</v>
      </c>
      <c r="G21" s="64">
        <f t="shared" si="0"/>
        <v>1976</v>
      </c>
      <c r="H21" s="84">
        <f>G21/G30</f>
        <v>7.0563868156983178E-2</v>
      </c>
    </row>
    <row r="22" spans="1:8" ht="15" customHeight="1">
      <c r="A22" s="279">
        <v>16</v>
      </c>
      <c r="B22" s="280" t="s">
        <v>85</v>
      </c>
      <c r="C22" s="269">
        <v>0</v>
      </c>
      <c r="D22" s="269">
        <v>9</v>
      </c>
      <c r="E22" s="65">
        <v>1</v>
      </c>
      <c r="F22" s="65">
        <v>299</v>
      </c>
      <c r="G22" s="64">
        <f t="shared" si="0"/>
        <v>309</v>
      </c>
      <c r="H22" s="84">
        <f>G22/G30</f>
        <v>1.1034532014427025E-2</v>
      </c>
    </row>
    <row r="23" spans="1:8" ht="24" customHeight="1">
      <c r="A23" s="281">
        <v>17</v>
      </c>
      <c r="B23" s="280" t="s">
        <v>86</v>
      </c>
      <c r="C23" s="269">
        <v>0</v>
      </c>
      <c r="D23" s="269">
        <v>0</v>
      </c>
      <c r="E23" s="65">
        <v>1</v>
      </c>
      <c r="F23" s="65">
        <v>280</v>
      </c>
      <c r="G23" s="64">
        <f t="shared" si="0"/>
        <v>281</v>
      </c>
      <c r="H23" s="84">
        <f>G23/G30</f>
        <v>1.0034639145805806E-2</v>
      </c>
    </row>
    <row r="24" spans="1:8" ht="15" customHeight="1">
      <c r="A24" s="279">
        <v>18</v>
      </c>
      <c r="B24" s="282" t="s">
        <v>87</v>
      </c>
      <c r="C24" s="269">
        <v>0</v>
      </c>
      <c r="D24" s="269">
        <v>48</v>
      </c>
      <c r="E24" s="65">
        <v>9</v>
      </c>
      <c r="F24" s="288">
        <f>380+1</f>
        <v>381</v>
      </c>
      <c r="G24" s="64">
        <f t="shared" si="0"/>
        <v>438</v>
      </c>
      <c r="H24" s="84">
        <f>G24/G30</f>
        <v>1.5641181302003357E-2</v>
      </c>
    </row>
    <row r="25" spans="1:8" ht="15" customHeight="1">
      <c r="A25" s="279">
        <v>19</v>
      </c>
      <c r="B25" s="282" t="s">
        <v>88</v>
      </c>
      <c r="C25" s="269">
        <v>0</v>
      </c>
      <c r="D25" s="269">
        <v>18</v>
      </c>
      <c r="E25" s="65">
        <v>31</v>
      </c>
      <c r="F25" s="65">
        <v>366</v>
      </c>
      <c r="G25" s="64">
        <f t="shared" si="0"/>
        <v>415</v>
      </c>
      <c r="H25" s="84">
        <f>G25/G30</f>
        <v>1.4819840731350212E-2</v>
      </c>
    </row>
    <row r="26" spans="1:8" ht="39" customHeight="1">
      <c r="A26" s="281">
        <v>20</v>
      </c>
      <c r="B26" s="282" t="s">
        <v>89</v>
      </c>
      <c r="C26" s="269">
        <v>0</v>
      </c>
      <c r="D26" s="269">
        <v>0</v>
      </c>
      <c r="E26" s="65">
        <v>0</v>
      </c>
      <c r="F26" s="288">
        <f>1+26</f>
        <v>27</v>
      </c>
      <c r="G26" s="64">
        <f t="shared" si="0"/>
        <v>27</v>
      </c>
      <c r="H26" s="84">
        <f>G26/G30</f>
        <v>9.6418240902760416E-4</v>
      </c>
    </row>
    <row r="27" spans="1:8" ht="15" customHeight="1">
      <c r="A27" s="279">
        <v>21</v>
      </c>
      <c r="B27" s="282" t="s">
        <v>90</v>
      </c>
      <c r="C27" s="269">
        <v>0</v>
      </c>
      <c r="D27" s="269">
        <v>0</v>
      </c>
      <c r="E27" s="65">
        <v>0</v>
      </c>
      <c r="F27" s="65">
        <v>26</v>
      </c>
      <c r="G27" s="64">
        <f t="shared" si="0"/>
        <v>26</v>
      </c>
      <c r="H27" s="84">
        <f>G27/G30</f>
        <v>9.2847194943398927E-4</v>
      </c>
    </row>
    <row r="28" spans="1:8" ht="15" customHeight="1">
      <c r="A28" s="279">
        <v>22</v>
      </c>
      <c r="B28" s="283" t="s">
        <v>91</v>
      </c>
      <c r="C28" s="269">
        <v>0</v>
      </c>
      <c r="D28" s="269">
        <v>11</v>
      </c>
      <c r="E28" s="65">
        <v>87</v>
      </c>
      <c r="F28" s="288">
        <f>1522+27</f>
        <v>1549</v>
      </c>
      <c r="G28" s="64">
        <f t="shared" si="0"/>
        <v>1647</v>
      </c>
      <c r="H28" s="84">
        <f>G28/G30</f>
        <v>5.8815126950683853E-2</v>
      </c>
    </row>
    <row r="29" spans="1:8" ht="15" customHeight="1">
      <c r="A29" s="279">
        <v>23</v>
      </c>
      <c r="B29" s="283" t="s">
        <v>92</v>
      </c>
      <c r="C29" s="269">
        <v>0</v>
      </c>
      <c r="D29" s="269"/>
      <c r="E29" s="65">
        <v>0</v>
      </c>
      <c r="F29" s="65">
        <v>13</v>
      </c>
      <c r="G29" s="64">
        <f t="shared" si="0"/>
        <v>13</v>
      </c>
      <c r="H29" s="84">
        <f>G29/G30</f>
        <v>4.6423597471699463E-4</v>
      </c>
    </row>
    <row r="30" spans="1:8" ht="15" customHeight="1" thickBot="1">
      <c r="A30" s="284"/>
      <c r="B30" s="285" t="s">
        <v>6</v>
      </c>
      <c r="C30" s="271">
        <f t="shared" ref="C30:H30" si="1">SUM(C7:C29)</f>
        <v>49</v>
      </c>
      <c r="D30" s="271">
        <f t="shared" si="1"/>
        <v>4730</v>
      </c>
      <c r="E30" s="271">
        <f t="shared" si="1"/>
        <v>5168</v>
      </c>
      <c r="F30" s="271">
        <f t="shared" si="1"/>
        <v>18056</v>
      </c>
      <c r="G30" s="271">
        <f t="shared" si="1"/>
        <v>28003</v>
      </c>
      <c r="H30" s="287">
        <f t="shared" si="1"/>
        <v>1.0000000000000002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31" t="s">
        <v>128</v>
      </c>
      <c r="B32" s="31"/>
      <c r="C32" s="31"/>
      <c r="D32" s="31"/>
      <c r="E32" s="31"/>
      <c r="F32" s="78" t="s">
        <v>12</v>
      </c>
      <c r="G32" s="31"/>
    </row>
    <row r="33" spans="1:7">
      <c r="A33" s="448">
        <v>42482</v>
      </c>
      <c r="B33" s="448"/>
      <c r="C33" s="31"/>
      <c r="D33" s="31"/>
      <c r="E33" s="31"/>
      <c r="F33" s="78" t="s">
        <v>93</v>
      </c>
      <c r="G33" s="31"/>
    </row>
    <row r="37" spans="1:7">
      <c r="D37" s="179"/>
    </row>
  </sheetData>
  <mergeCells count="8">
    <mergeCell ref="A33:B33"/>
    <mergeCell ref="H4:H6"/>
    <mergeCell ref="A2:H2"/>
    <mergeCell ref="A3:C3"/>
    <mergeCell ref="C4:G4"/>
    <mergeCell ref="C5:D5"/>
    <mergeCell ref="E5:F5"/>
    <mergeCell ref="G5:G6"/>
  </mergeCells>
  <pageMargins left="0.31496062992125984" right="0.19685039370078741" top="0.35433070866141736" bottom="0.35433070866141736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33" sqref="A33:B33"/>
    </sheetView>
  </sheetViews>
  <sheetFormatPr defaultRowHeight="12.75"/>
  <cols>
    <col min="1" max="1" width="4.85546875" customWidth="1"/>
    <col min="2" max="2" width="47.140625" customWidth="1"/>
    <col min="3" max="8" width="12.7109375" customWidth="1"/>
  </cols>
  <sheetData>
    <row r="1" spans="1:8">
      <c r="A1" s="123" t="s">
        <v>109</v>
      </c>
    </row>
    <row r="2" spans="1:8" ht="28.5" customHeight="1">
      <c r="A2" s="444" t="s">
        <v>137</v>
      </c>
      <c r="B2" s="444"/>
      <c r="C2" s="444"/>
      <c r="D2" s="444"/>
      <c r="E2" s="444"/>
      <c r="F2" s="444"/>
      <c r="G2" s="444"/>
      <c r="H2" s="444"/>
    </row>
    <row r="3" spans="1:8" ht="7.5" customHeight="1" thickBot="1">
      <c r="A3" s="443"/>
      <c r="B3" s="443"/>
      <c r="C3" s="443"/>
    </row>
    <row r="4" spans="1:8" ht="15" customHeight="1">
      <c r="A4" s="273"/>
      <c r="B4" s="274"/>
      <c r="C4" s="446" t="s">
        <v>62</v>
      </c>
      <c r="D4" s="446"/>
      <c r="E4" s="446"/>
      <c r="F4" s="446"/>
      <c r="G4" s="446"/>
      <c r="H4" s="452" t="s">
        <v>96</v>
      </c>
    </row>
    <row r="5" spans="1:8" ht="15" customHeight="1">
      <c r="A5" s="275" t="s">
        <v>63</v>
      </c>
      <c r="B5" s="276" t="s">
        <v>64</v>
      </c>
      <c r="C5" s="449" t="s">
        <v>65</v>
      </c>
      <c r="D5" s="449"/>
      <c r="E5" s="450" t="s">
        <v>66</v>
      </c>
      <c r="F5" s="450"/>
      <c r="G5" s="451" t="s">
        <v>6</v>
      </c>
      <c r="H5" s="453"/>
    </row>
    <row r="6" spans="1:8" ht="25.5" customHeight="1">
      <c r="A6" s="210"/>
      <c r="B6" s="211"/>
      <c r="C6" s="278" t="s">
        <v>67</v>
      </c>
      <c r="D6" s="278" t="s">
        <v>68</v>
      </c>
      <c r="E6" s="278" t="s">
        <v>68</v>
      </c>
      <c r="F6" s="278" t="s">
        <v>69</v>
      </c>
      <c r="G6" s="451"/>
      <c r="H6" s="453"/>
    </row>
    <row r="7" spans="1:8" ht="15" customHeight="1">
      <c r="A7" s="279">
        <v>1</v>
      </c>
      <c r="B7" s="280" t="s">
        <v>70</v>
      </c>
      <c r="C7" s="269">
        <v>0</v>
      </c>
      <c r="D7" s="269">
        <v>0</v>
      </c>
      <c r="E7" s="65">
        <v>0</v>
      </c>
      <c r="F7" s="65">
        <v>114</v>
      </c>
      <c r="G7" s="64">
        <f>C7+D7+E7+F7</f>
        <v>114</v>
      </c>
      <c r="H7" s="84">
        <f>G7/G30</f>
        <v>4.4993487784662743E-3</v>
      </c>
    </row>
    <row r="8" spans="1:8" ht="15" customHeight="1">
      <c r="A8" s="279">
        <v>2</v>
      </c>
      <c r="B8" s="280" t="s">
        <v>71</v>
      </c>
      <c r="C8" s="269">
        <v>0</v>
      </c>
      <c r="D8" s="269">
        <v>0</v>
      </c>
      <c r="E8" s="65">
        <v>0</v>
      </c>
      <c r="F8" s="65">
        <v>21</v>
      </c>
      <c r="G8" s="64">
        <f t="shared" ref="G8:G29" si="0">C8+D8+E8+F8</f>
        <v>21</v>
      </c>
      <c r="H8" s="84">
        <f>G8/G30</f>
        <v>8.2882740655957688E-4</v>
      </c>
    </row>
    <row r="9" spans="1:8" ht="15" customHeight="1">
      <c r="A9" s="279">
        <v>3</v>
      </c>
      <c r="B9" s="280" t="s">
        <v>72</v>
      </c>
      <c r="C9" s="269">
        <v>53</v>
      </c>
      <c r="D9" s="64">
        <v>0</v>
      </c>
      <c r="E9" s="65">
        <v>4</v>
      </c>
      <c r="F9" s="65">
        <f>1178+1</f>
        <v>1179</v>
      </c>
      <c r="G9" s="64">
        <f t="shared" si="0"/>
        <v>1236</v>
      </c>
      <c r="H9" s="84">
        <f>G9/G30</f>
        <v>4.8782413071792242E-2</v>
      </c>
    </row>
    <row r="10" spans="1:8" ht="14.25" customHeight="1">
      <c r="A10" s="279">
        <v>4</v>
      </c>
      <c r="B10" s="280" t="s">
        <v>73</v>
      </c>
      <c r="C10" s="270">
        <v>0</v>
      </c>
      <c r="D10" s="270">
        <v>0</v>
      </c>
      <c r="E10" s="68">
        <v>0</v>
      </c>
      <c r="F10" s="60">
        <v>30</v>
      </c>
      <c r="G10" s="64">
        <f t="shared" si="0"/>
        <v>30</v>
      </c>
      <c r="H10" s="84">
        <f>G10/G30</f>
        <v>1.184039152227967E-3</v>
      </c>
    </row>
    <row r="11" spans="1:8" ht="27.75" customHeight="1">
      <c r="A11" s="279">
        <v>5</v>
      </c>
      <c r="B11" s="280" t="s">
        <v>74</v>
      </c>
      <c r="C11" s="269">
        <v>0</v>
      </c>
      <c r="D11" s="269">
        <v>0</v>
      </c>
      <c r="E11" s="65">
        <v>0</v>
      </c>
      <c r="F11" s="65">
        <v>7</v>
      </c>
      <c r="G11" s="64">
        <f t="shared" si="0"/>
        <v>7</v>
      </c>
      <c r="H11" s="84">
        <f>G11/G30</f>
        <v>2.7627580218652563E-4</v>
      </c>
    </row>
    <row r="12" spans="1:8" ht="15" customHeight="1">
      <c r="A12" s="279">
        <v>6</v>
      </c>
      <c r="B12" s="286" t="s">
        <v>75</v>
      </c>
      <c r="C12" s="270">
        <v>0</v>
      </c>
      <c r="D12" s="270">
        <v>1</v>
      </c>
      <c r="E12" s="68">
        <v>19</v>
      </c>
      <c r="F12" s="68">
        <f>1240+1</f>
        <v>1241</v>
      </c>
      <c r="G12" s="67">
        <f t="shared" si="0"/>
        <v>1261</v>
      </c>
      <c r="H12" s="85">
        <f>G12/G30</f>
        <v>4.9769112365315546E-2</v>
      </c>
    </row>
    <row r="13" spans="1:8" ht="27.75" customHeight="1">
      <c r="A13" s="279">
        <v>7</v>
      </c>
      <c r="B13" s="286" t="s">
        <v>76</v>
      </c>
      <c r="C13" s="270">
        <v>0</v>
      </c>
      <c r="D13" s="270">
        <v>220</v>
      </c>
      <c r="E13" s="68">
        <v>43</v>
      </c>
      <c r="F13" s="68">
        <v>3435</v>
      </c>
      <c r="G13" s="67">
        <f t="shared" si="0"/>
        <v>3698</v>
      </c>
      <c r="H13" s="85">
        <f>G13/G30</f>
        <v>0.1459525594979674</v>
      </c>
    </row>
    <row r="14" spans="1:8" ht="15" customHeight="1">
      <c r="A14" s="279">
        <v>8</v>
      </c>
      <c r="B14" s="280" t="s">
        <v>77</v>
      </c>
      <c r="C14" s="270">
        <v>0</v>
      </c>
      <c r="D14" s="270">
        <v>38</v>
      </c>
      <c r="E14" s="59">
        <v>9</v>
      </c>
      <c r="F14" s="60">
        <f>1171+1</f>
        <v>1172</v>
      </c>
      <c r="G14" s="64">
        <f t="shared" si="0"/>
        <v>1219</v>
      </c>
      <c r="H14" s="84">
        <f>G14/G30</f>
        <v>4.8111457552196396E-2</v>
      </c>
    </row>
    <row r="15" spans="1:8" ht="25.5" customHeight="1">
      <c r="A15" s="279">
        <v>9</v>
      </c>
      <c r="B15" s="286" t="s">
        <v>78</v>
      </c>
      <c r="C15" s="270">
        <v>0</v>
      </c>
      <c r="D15" s="270">
        <v>3056</v>
      </c>
      <c r="E15" s="68">
        <v>4429</v>
      </c>
      <c r="F15" s="68">
        <f>3217+16</f>
        <v>3233</v>
      </c>
      <c r="G15" s="67">
        <f t="shared" si="0"/>
        <v>10718</v>
      </c>
      <c r="H15" s="85">
        <f>G15/G30</f>
        <v>0.42301772111931168</v>
      </c>
    </row>
    <row r="16" spans="1:8" ht="15" customHeight="1">
      <c r="A16" s="279">
        <v>10</v>
      </c>
      <c r="B16" s="280" t="s">
        <v>79</v>
      </c>
      <c r="C16" s="269">
        <v>0</v>
      </c>
      <c r="D16" s="269">
        <v>0</v>
      </c>
      <c r="E16" s="65">
        <v>0</v>
      </c>
      <c r="F16" s="65">
        <f>279+1</f>
        <v>280</v>
      </c>
      <c r="G16" s="64">
        <f t="shared" si="0"/>
        <v>280</v>
      </c>
      <c r="H16" s="84">
        <f>G16/G30</f>
        <v>1.1051032087461025E-2</v>
      </c>
    </row>
    <row r="17" spans="1:8" ht="15" customHeight="1">
      <c r="A17" s="279">
        <v>11</v>
      </c>
      <c r="B17" s="280" t="s">
        <v>80</v>
      </c>
      <c r="C17" s="269">
        <v>0</v>
      </c>
      <c r="D17" s="269">
        <v>0</v>
      </c>
      <c r="E17" s="65">
        <v>0</v>
      </c>
      <c r="F17" s="60">
        <v>339</v>
      </c>
      <c r="G17" s="64">
        <f t="shared" si="0"/>
        <v>339</v>
      </c>
      <c r="H17" s="84">
        <f>G17/G30</f>
        <v>1.3379642420176027E-2</v>
      </c>
    </row>
    <row r="18" spans="1:8" ht="15" customHeight="1">
      <c r="A18" s="279">
        <v>12</v>
      </c>
      <c r="B18" s="280" t="s">
        <v>81</v>
      </c>
      <c r="C18" s="269">
        <v>0</v>
      </c>
      <c r="D18" s="269">
        <v>9</v>
      </c>
      <c r="E18" s="65">
        <v>23</v>
      </c>
      <c r="F18" s="65">
        <v>151</v>
      </c>
      <c r="G18" s="64">
        <f t="shared" si="0"/>
        <v>183</v>
      </c>
      <c r="H18" s="84">
        <f>G18/G30</f>
        <v>7.2226388285905989E-3</v>
      </c>
    </row>
    <row r="19" spans="1:8" ht="15" customHeight="1">
      <c r="A19" s="279">
        <v>13</v>
      </c>
      <c r="B19" s="280" t="s">
        <v>82</v>
      </c>
      <c r="C19" s="269">
        <v>0</v>
      </c>
      <c r="D19" s="269">
        <v>0</v>
      </c>
      <c r="E19" s="65">
        <v>0</v>
      </c>
      <c r="F19" s="65">
        <v>723</v>
      </c>
      <c r="G19" s="64">
        <f t="shared" si="0"/>
        <v>723</v>
      </c>
      <c r="H19" s="84">
        <f>G19/G30</f>
        <v>2.8535343568694006E-2</v>
      </c>
    </row>
    <row r="20" spans="1:8" ht="15" customHeight="1">
      <c r="A20" s="279">
        <v>14</v>
      </c>
      <c r="B20" s="280" t="s">
        <v>83</v>
      </c>
      <c r="C20" s="269">
        <v>0</v>
      </c>
      <c r="D20" s="269">
        <v>51</v>
      </c>
      <c r="E20" s="65">
        <v>19</v>
      </c>
      <c r="F20" s="65">
        <f>652+2</f>
        <v>654</v>
      </c>
      <c r="G20" s="64">
        <f t="shared" si="0"/>
        <v>724</v>
      </c>
      <c r="H20" s="84">
        <f>G20/G30</f>
        <v>2.8574811540434938E-2</v>
      </c>
    </row>
    <row r="21" spans="1:8" ht="15" customHeight="1">
      <c r="A21" s="281">
        <v>15</v>
      </c>
      <c r="B21" s="280" t="s">
        <v>84</v>
      </c>
      <c r="C21" s="269">
        <v>0</v>
      </c>
      <c r="D21" s="269">
        <v>16</v>
      </c>
      <c r="E21" s="65">
        <v>1</v>
      </c>
      <c r="F21" s="65">
        <f>1742+1</f>
        <v>1743</v>
      </c>
      <c r="G21" s="64">
        <f t="shared" si="0"/>
        <v>1760</v>
      </c>
      <c r="H21" s="84">
        <f>G21/G30</f>
        <v>6.9463630264040732E-2</v>
      </c>
    </row>
    <row r="22" spans="1:8" ht="15" customHeight="1">
      <c r="A22" s="279">
        <v>16</v>
      </c>
      <c r="B22" s="280" t="s">
        <v>85</v>
      </c>
      <c r="C22" s="269">
        <v>0</v>
      </c>
      <c r="D22" s="269">
        <v>10</v>
      </c>
      <c r="E22" s="65">
        <v>1</v>
      </c>
      <c r="F22" s="65">
        <v>278</v>
      </c>
      <c r="G22" s="64">
        <f t="shared" si="0"/>
        <v>289</v>
      </c>
      <c r="H22" s="84">
        <f>G22/G30</f>
        <v>1.1406243833129416E-2</v>
      </c>
    </row>
    <row r="23" spans="1:8" ht="24.75" customHeight="1">
      <c r="A23" s="281">
        <v>17</v>
      </c>
      <c r="B23" s="280" t="s">
        <v>86</v>
      </c>
      <c r="C23" s="269">
        <v>0</v>
      </c>
      <c r="D23" s="269">
        <v>0</v>
      </c>
      <c r="E23" s="65">
        <v>0</v>
      </c>
      <c r="F23" s="65">
        <v>263</v>
      </c>
      <c r="G23" s="64">
        <f t="shared" si="0"/>
        <v>263</v>
      </c>
      <c r="H23" s="84">
        <f>G23/G30</f>
        <v>1.0380076567865177E-2</v>
      </c>
    </row>
    <row r="24" spans="1:8" ht="15.75" customHeight="1">
      <c r="A24" s="279">
        <v>18</v>
      </c>
      <c r="B24" s="282" t="s">
        <v>87</v>
      </c>
      <c r="C24" s="269">
        <v>0</v>
      </c>
      <c r="D24" s="269">
        <v>45</v>
      </c>
      <c r="E24" s="65">
        <v>10</v>
      </c>
      <c r="F24" s="65">
        <f>375+1</f>
        <v>376</v>
      </c>
      <c r="G24" s="64">
        <f t="shared" si="0"/>
        <v>431</v>
      </c>
      <c r="H24" s="84">
        <f>G24/G30</f>
        <v>1.7010695820341794E-2</v>
      </c>
    </row>
    <row r="25" spans="1:8" ht="13.5" customHeight="1">
      <c r="A25" s="279">
        <v>19</v>
      </c>
      <c r="B25" s="282" t="s">
        <v>88</v>
      </c>
      <c r="C25" s="269">
        <v>0</v>
      </c>
      <c r="D25" s="269">
        <v>16</v>
      </c>
      <c r="E25" s="65">
        <v>26</v>
      </c>
      <c r="F25" s="65">
        <v>357</v>
      </c>
      <c r="G25" s="64">
        <f t="shared" si="0"/>
        <v>399</v>
      </c>
      <c r="H25" s="84">
        <f>G25/G30</f>
        <v>1.5747720724631962E-2</v>
      </c>
    </row>
    <row r="26" spans="1:8" ht="36.75" customHeight="1">
      <c r="A26" s="281">
        <v>20</v>
      </c>
      <c r="B26" s="282" t="s">
        <v>89</v>
      </c>
      <c r="C26" s="269">
        <v>0</v>
      </c>
      <c r="D26" s="269">
        <v>0</v>
      </c>
      <c r="E26" s="65">
        <v>0</v>
      </c>
      <c r="F26" s="65">
        <f>26+1</f>
        <v>27</v>
      </c>
      <c r="G26" s="64">
        <f t="shared" si="0"/>
        <v>27</v>
      </c>
      <c r="H26" s="84">
        <f>G26/G30</f>
        <v>1.0656352370051704E-3</v>
      </c>
    </row>
    <row r="27" spans="1:8" ht="15.75" customHeight="1">
      <c r="A27" s="279">
        <v>21</v>
      </c>
      <c r="B27" s="282" t="s">
        <v>90</v>
      </c>
      <c r="C27" s="269">
        <v>0</v>
      </c>
      <c r="D27" s="269">
        <v>0</v>
      </c>
      <c r="E27" s="65">
        <v>0</v>
      </c>
      <c r="F27" s="65">
        <v>23</v>
      </c>
      <c r="G27" s="64">
        <f t="shared" si="0"/>
        <v>23</v>
      </c>
      <c r="H27" s="84">
        <f>G27/G30</f>
        <v>9.0776335004144138E-4</v>
      </c>
    </row>
    <row r="28" spans="1:8" ht="15.75" customHeight="1">
      <c r="A28" s="279">
        <v>22</v>
      </c>
      <c r="B28" s="283" t="s">
        <v>91</v>
      </c>
      <c r="C28" s="269">
        <v>0</v>
      </c>
      <c r="D28" s="269">
        <v>8</v>
      </c>
      <c r="E28" s="65">
        <v>77</v>
      </c>
      <c r="F28" s="65">
        <f>1478+22</f>
        <v>1500</v>
      </c>
      <c r="G28" s="64">
        <f t="shared" si="0"/>
        <v>1585</v>
      </c>
      <c r="H28" s="84">
        <f>G28/G30</f>
        <v>6.2556735209377587E-2</v>
      </c>
    </row>
    <row r="29" spans="1:8" ht="15.75" customHeight="1">
      <c r="A29" s="279">
        <v>23</v>
      </c>
      <c r="B29" s="283" t="s">
        <v>92</v>
      </c>
      <c r="C29" s="269">
        <v>0</v>
      </c>
      <c r="D29" s="269">
        <v>0</v>
      </c>
      <c r="E29" s="65">
        <v>0</v>
      </c>
      <c r="F29" s="65">
        <v>7</v>
      </c>
      <c r="G29" s="64">
        <f t="shared" si="0"/>
        <v>7</v>
      </c>
      <c r="H29" s="84">
        <f>G29/G30</f>
        <v>2.7627580218652563E-4</v>
      </c>
    </row>
    <row r="30" spans="1:8" ht="12.75" customHeight="1" thickBot="1">
      <c r="A30" s="284"/>
      <c r="B30" s="285" t="s">
        <v>6</v>
      </c>
      <c r="C30" s="271">
        <f t="shared" ref="C30:H30" si="1">SUM(C7:C29)</f>
        <v>53</v>
      </c>
      <c r="D30" s="271">
        <f>SUM(D7:D29)</f>
        <v>3470</v>
      </c>
      <c r="E30" s="271">
        <f t="shared" si="1"/>
        <v>4661</v>
      </c>
      <c r="F30" s="271">
        <f t="shared" si="1"/>
        <v>17153</v>
      </c>
      <c r="G30" s="271">
        <f t="shared" si="1"/>
        <v>25337</v>
      </c>
      <c r="H30" s="287">
        <f t="shared" si="1"/>
        <v>0.99999999999999978</v>
      </c>
    </row>
    <row r="31" spans="1:8">
      <c r="A31" s="75"/>
      <c r="B31" s="76"/>
      <c r="C31" s="77"/>
      <c r="D31" s="77"/>
      <c r="E31" s="77"/>
      <c r="F31" s="77"/>
      <c r="G31" s="77"/>
    </row>
    <row r="32" spans="1:8">
      <c r="A32" s="31" t="s">
        <v>128</v>
      </c>
      <c r="B32" s="31"/>
      <c r="C32" s="31"/>
      <c r="D32" s="31"/>
      <c r="E32" s="31"/>
      <c r="F32" s="78" t="s">
        <v>12</v>
      </c>
      <c r="G32" s="31"/>
    </row>
    <row r="33" spans="1:7">
      <c r="A33" s="454">
        <v>42509</v>
      </c>
      <c r="B33" s="454"/>
      <c r="C33" s="31"/>
      <c r="D33" s="31"/>
      <c r="E33" s="31"/>
      <c r="F33" s="78" t="s">
        <v>93</v>
      </c>
      <c r="G33" s="31"/>
    </row>
    <row r="38" spans="1:7">
      <c r="D38" s="179"/>
    </row>
  </sheetData>
  <mergeCells count="8">
    <mergeCell ref="A33:B33"/>
    <mergeCell ref="A2:H2"/>
    <mergeCell ref="A3:C3"/>
    <mergeCell ref="C4:G4"/>
    <mergeCell ref="H4:H6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κατά επαρχία και φύλο το 2016</vt:lpstr>
      <vt:lpstr>κατά επαρχία,  μήνα 2015,2016</vt:lpstr>
      <vt:lpstr>κατά φύλο, μήνα 2015,2016</vt:lpstr>
      <vt:lpstr>άνεργοι κατά μήνα 2007-2016</vt:lpstr>
      <vt:lpstr>δικ κατά μήν και κοιν 2015-2016</vt:lpstr>
      <vt:lpstr>δικ, ποσό πληρ. κατά μήνα 11-16</vt:lpstr>
      <vt:lpstr>άνεργοι κατά οικ. δραστ.1.2016</vt:lpstr>
      <vt:lpstr>άνεργοι κατά οικ. δραστ. 2.2016</vt:lpstr>
      <vt:lpstr>άνεργοι κατά οικ. δρστ. 3.2016</vt:lpstr>
      <vt:lpstr>άνεργοι κατά οικ. δραστ. 4.2016</vt:lpstr>
      <vt:lpstr>άνεργοι κατά οικ. δραστ. 5.2016</vt:lpstr>
      <vt:lpstr>άνεργοι κατά οικ. δρ. 6.2016</vt:lpstr>
      <vt:lpstr>άνεργοι κατά οικ. δρ. 7.2016</vt:lpstr>
      <vt:lpstr>άνεργοι κατά οικ. δρ. 8.16</vt:lpstr>
      <vt:lpstr>ανεργοι κατά οικ. δρ.9.16</vt:lpstr>
      <vt:lpstr>ανεργοι κατά οικ. δρ.10.16</vt:lpstr>
      <vt:lpstr>ανεργοι κατά οικ. δρ.11.16</vt:lpstr>
      <vt:lpstr>ανεργοι κατά οικ. δρ.12.16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2017-04-24T06:56:43Z</cp:lastPrinted>
  <dcterms:created xsi:type="dcterms:W3CDTF">1999-12-20T10:51:55Z</dcterms:created>
  <dcterms:modified xsi:type="dcterms:W3CDTF">2017-09-04T08:28:53Z</dcterms:modified>
</cp:coreProperties>
</file>