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60" windowWidth="9540" windowHeight="5085" firstSheet="5" activeTab="5"/>
  </bookViews>
  <sheets>
    <sheet name="κατά επαρχία και φύλο το 2013" sheetId="1" r:id="rId1"/>
    <sheet name="κατά επαρχία,  μήνα 2012,2013" sheetId="2" r:id="rId2"/>
    <sheet name="κατά φύλο, μήνα 2012,2013" sheetId="3" r:id="rId3"/>
    <sheet name="άνεργοι κατά μήνα 2006-2013" sheetId="4" r:id="rId4"/>
    <sheet name="δικ κατά μήν και κοιν 2010-2013" sheetId="5" r:id="rId5"/>
    <sheet name="δικ, ποσό πληρ. κατά μήνα 09-13" sheetId="6" r:id="rId6"/>
    <sheet name="άνεργοι κατά οικ. δραστ.1.2013" sheetId="7" r:id="rId7"/>
    <sheet name="άνεργοι κατά οικ. δραστ. 2.2013" sheetId="8" r:id="rId8"/>
    <sheet name="άνεργοι κατά οικ. δρστ. 3.2013" sheetId="9" r:id="rId9"/>
    <sheet name="άνεργοι κατά οικ. δραστ. 4.2013" sheetId="10" r:id="rId10"/>
    <sheet name="άνεργοι κατά οικ. δραστ. 5.2013" sheetId="11" r:id="rId11"/>
    <sheet name="άνεργοι κατά οικ. δρ. 6.2013" sheetId="12" r:id="rId12"/>
    <sheet name="άνεργοι κατά οικ. δρ. 7.2013" sheetId="13" r:id="rId13"/>
    <sheet name="άνεργοι κατά οικ. δρ. 8.13" sheetId="14" r:id="rId14"/>
    <sheet name="ανεργοι κατά οικ. δρ.9.13" sheetId="15" r:id="rId15"/>
    <sheet name="ανεργοι κατά οικ. δρ.10.13" sheetId="16" r:id="rId16"/>
    <sheet name="ανεργοι κατά οικ. δρ.11.13" sheetId="17" r:id="rId17"/>
    <sheet name="ανεργοι κατά οικ. δρ.12.13" sheetId="18" r:id="rId18"/>
  </sheets>
  <definedNames/>
  <calcPr fullCalcOnLoad="1"/>
</workbook>
</file>

<file path=xl/sharedStrings.xml><?xml version="1.0" encoding="utf-8"?>
<sst xmlns="http://schemas.openxmlformats.org/spreadsheetml/2006/main" count="719" uniqueCount="149">
  <si>
    <t>ΜΗΝΑΣ</t>
  </si>
  <si>
    <t>ΛΕΥΚΩΣΙΑ</t>
  </si>
  <si>
    <t>ΛΑΡΝΑΚΑ</t>
  </si>
  <si>
    <t>ΠΑΡΑΛΙΜΝΙ</t>
  </si>
  <si>
    <t>ΛΕΜΕΣΟΣ</t>
  </si>
  <si>
    <t>ΠΑΦΟΣ</t>
  </si>
  <si>
    <t>ΣΥΝΟΛΟ</t>
  </si>
  <si>
    <t>ΑΥΓΟΥΣΤΟΣ</t>
  </si>
  <si>
    <t>ΠΟΣΟΣΤΙΑΙΑ</t>
  </si>
  <si>
    <t>ΑΥΞΗΣΗ</t>
  </si>
  <si>
    <t>ΑΝΔΡΕΣ</t>
  </si>
  <si>
    <t>ΓΥΝΑΙΚΕΣ</t>
  </si>
  <si>
    <t>ΠΟΣΟΣΤΟ</t>
  </si>
  <si>
    <t>ΓΕΝΙΚΟ</t>
  </si>
  <si>
    <t xml:space="preserve"> ΥΠΗΡΕΣΙΕΣ ΚΟΙΝΩΝΙΚΩΝ ΑΣΦΑΛΙΣΕΩΝ</t>
  </si>
  <si>
    <t>ΚΛΑΔΟΣ ΣΤΑΤΙΣΤΙΚΗΣ</t>
  </si>
  <si>
    <t>£</t>
  </si>
  <si>
    <t>Μ Η Ν Α Σ</t>
  </si>
  <si>
    <t>ΑΡΙΘΜΟΣ</t>
  </si>
  <si>
    <t>ΠΟΣΟ ΠΟΥ</t>
  </si>
  <si>
    <t>ΠΡΟΣΩΠΩΝ</t>
  </si>
  <si>
    <t>ΠΛΗΡΩΘΗΚΕ</t>
  </si>
  <si>
    <t>12356*</t>
  </si>
  <si>
    <t>ΙΑΝΟΥΑΡΙΟΣ</t>
  </si>
  <si>
    <t>ΦΕΒΡΟΥΑΡΙΟΣ</t>
  </si>
  <si>
    <t>ΜΑΡΤΙΟΣ</t>
  </si>
  <si>
    <t>ΑΠΡΙΛΙΟΣ</t>
  </si>
  <si>
    <t>ΜΑΪΟΣ</t>
  </si>
  <si>
    <t>ΙΟΥΝΙΟΣ</t>
  </si>
  <si>
    <t>ΙΟΥΛΙΟΣ</t>
  </si>
  <si>
    <t>ΣΕΠΤΕΜΒΡΙΟΣ</t>
  </si>
  <si>
    <t>ΟΚΤΩΒΡΙΟΣ</t>
  </si>
  <si>
    <t>ΝΟΕΜΒΡΙΟΣ</t>
  </si>
  <si>
    <t>ΔΕΚΕΜΒΡΙΟΣ</t>
  </si>
  <si>
    <t>ΠΛΗΡΩΘΗΚΕ*</t>
  </si>
  <si>
    <t xml:space="preserve">  </t>
  </si>
  <si>
    <t xml:space="preserve">                ΚΛΑΔΟΣ ΣΤΑΤΙΣΤΙΚΗΣ</t>
  </si>
  <si>
    <t>% μεταβολής στον αρ. ατόμων 2009/2008</t>
  </si>
  <si>
    <t>% μεταβολής στον αρ. ατόμων 2010/2009</t>
  </si>
  <si>
    <t xml:space="preserve"> </t>
  </si>
  <si>
    <t>% μεταβολής στον αρ. ατόμων 2011/2010</t>
  </si>
  <si>
    <t>Εληνοκύπριοι και άλλοι</t>
  </si>
  <si>
    <t>Κοινοτικοί</t>
  </si>
  <si>
    <t xml:space="preserve">Τουρκοκύπριοι </t>
  </si>
  <si>
    <t>Σύνολο</t>
  </si>
  <si>
    <t xml:space="preserve">Αλλοδαποί </t>
  </si>
  <si>
    <t>*  Στον αριθμό των Αλλοδαπών και Κοινοτικών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t>
  </si>
  <si>
    <t>ΜΕΣΟΣ ΜΗΝΙΑΙΟΣ ΑΡΙΘΜΟΣ Β΄ ΕΞΑΜΗΝΟΥ</t>
  </si>
  <si>
    <t>ΜΕΣΟΣ ΜΗΝΙΑΙΟΣ  ΑΡΙΘΜΟΣ ΧΡΟΝΟΥ</t>
  </si>
  <si>
    <t>ΜΕΣΟΣ ΜΗΝΙΑΙΟΣ ΑΡΙΘΜΟΣ Α΄ ΕΞΑΜΗΝΟΥ</t>
  </si>
  <si>
    <t>ΜΕΣΟΣ ΜΗΝΙΑΙΟΣ ΑΡΙΘΜΟΣ ΧΡΟΝΟΥ</t>
  </si>
  <si>
    <t xml:space="preserve">ΜΕΣΟΣ ΜΗΝΙΑΙΟΣ ΑΡΙΘΜΟΣ Β΄ ΕΞΑΜΗΝΟΥ </t>
  </si>
  <si>
    <t>ΜΕΣΟΣ ΜΗΝΙΑΙΟΣ ΑΡΙΘΜΟΣ ΕΤΟΥΣ</t>
  </si>
  <si>
    <t xml:space="preserve">ΜΕΣΟΣ ΜΗΝΙΑΙΟΣ ΑΡΙΘΜΟΣ Α΄ ΕΞΑΜΗΝΟΥ </t>
  </si>
  <si>
    <r>
      <t xml:space="preserve">ΠΙΝΑΚΑΣ ΣΤΟΝ ΟΠΟΙΟ ΦΑΙΝΕΤΑΙ Ο ΑΡΙΘΜΟΣ ΤΩΝ ΠΡΟΣΩΠΩΝ ΠΟΥ </t>
    </r>
    <r>
      <rPr>
        <b/>
        <sz val="10"/>
        <rFont val="Arial"/>
        <family val="2"/>
      </rPr>
      <t xml:space="preserve">ΑΠΟΤΑΘΗΚΑΝ </t>
    </r>
  </si>
  <si>
    <t>ΑΤΟΜΩΝ</t>
  </si>
  <si>
    <t>ΜΕΣΟΣ ΜΗΝΙΑΙΟΣ ΑΡΙΘΜΟΣ ΑΤΟΜΩΝ ΚΑΙ ΣΥΝΟΛΙΚΟ ΠΟΣΟ ΠΛΗΡΩΜΗΣ Α΄ ΕΞΑΜΗΝΟΥ</t>
  </si>
  <si>
    <t>ΜΕΣΟΣ ΜΗΝΙΑΙΟΣ ΑΡΙΘΜΟΣ ΑΤΟΜΩΝ ΚΑΙ ΣΥΝΟΛΙΚΟ ΠΟΣΟ ΠΛΗΡΩΜΗΣ Β΄ ΕΞΑΜΗΝΟΥ</t>
  </si>
  <si>
    <t xml:space="preserve">                                           ΜΕΣΟΣ ΜΗΝΙΑΙΟΣ ΑΡΙΘΜΟΣ ΑΤΟΜΩΝ ΚΑΙ ΣΥΝΟΛΙΚΟ ΠΟΣΟ ΠΛΗΡΩΜΗΣ ΕΤΟΥΣ €</t>
  </si>
  <si>
    <t>2. Μέρος του ποσού αφορά αναδρομικές πληρωμές.</t>
  </si>
  <si>
    <t xml:space="preserve"> * Το ποσό πληρωμής αφορά τη μηνιαία δαπάνη του επιδόματος ανεργίας και όχι το ποσό που καταβλήθηκε στα πιο πάνω άτομα, για τους πιο κάτω λόγους:</t>
  </si>
  <si>
    <t>1. Οι δικαιούχοι δεν πληρώνονται απαραίτητα τον αντίστοιχο μήνα αναφοράς,</t>
  </si>
  <si>
    <t>ΕΤΗΣΙΑ ΔΑΠΑΝΗ €**</t>
  </si>
  <si>
    <t>ΠΟΣΟ ΠΛΗΡΩΜΗΣ* €</t>
  </si>
  <si>
    <t>% μεταβολής του συνόλου 2011/2010</t>
  </si>
  <si>
    <t>% μεταβολής στον αρ. ατόμων 2012/2011</t>
  </si>
  <si>
    <t>ΚΑΤΗΓΟΡΙΑ ΑΝΕΡΓΩΝ</t>
  </si>
  <si>
    <t>A/A</t>
  </si>
  <si>
    <t xml:space="preserve"> ΟΙΚΟΝΟΜΙΚΗ ΔΡΑΣΤΗΡΙΟΤΗΤΑ (NACE 2)</t>
  </si>
  <si>
    <t xml:space="preserve">      ΑΝΑΣΤΟΛΕΣ </t>
  </si>
  <si>
    <t xml:space="preserve">    ΤΕΡΜΑΤΙΣΜΟΙ </t>
  </si>
  <si>
    <t>ΜΕΤΑΠΟΙΗΣΗΣ</t>
  </si>
  <si>
    <t>ΤΟΥΡΙΣΤΙΚΗΣ ΒΙΟΜΗΧΑΝΙΑΣ</t>
  </si>
  <si>
    <t>ΑΛΛΟΙ</t>
  </si>
  <si>
    <t>Γεωργία, δασοκομία και αλιεία</t>
  </si>
  <si>
    <t>Ορυχεία και λατομεία</t>
  </si>
  <si>
    <t>Μεταποίηση</t>
  </si>
  <si>
    <t>Παροχή ηλεκτρικού ρεύματος, φυσικού αερίου, ατμού και κλιματισμού</t>
  </si>
  <si>
    <t>Παροχή νερού, επεξεργασία λυμάτων, διαχείριση αποβλήτων και δραστηριότητες εξυγίανσης</t>
  </si>
  <si>
    <t>Κατασκευές</t>
  </si>
  <si>
    <t>Χονδρικό και λιανικό εμπόριο.  Επισκευή μηχανοκίνητων οχημάτων και μοτοσυκλετών</t>
  </si>
  <si>
    <t>Μεταφορά και αποθήκευση</t>
  </si>
  <si>
    <t>Δραστηριότητες υπηρεσιών παροχής καταλύματος και υπηρεσιών εστίασης</t>
  </si>
  <si>
    <t>Ενημέρωση και επικοινωνία</t>
  </si>
  <si>
    <t>Χρηματοπιστωτικές και ασφαλιστικές δραστηριότητες</t>
  </si>
  <si>
    <t>Διαχείριση ακίνητης περιουσίας</t>
  </si>
  <si>
    <t>Επαγγελματικές, επιστημονικές και τεχνικές δραστηριότητες</t>
  </si>
  <si>
    <t>Διοικητικές και υποστηρικτικές δραστηριότητες</t>
  </si>
  <si>
    <t>Δημόσια διοίκηση και άμυνα. Υποχρεωτική κοινωνική ασφάλιση</t>
  </si>
  <si>
    <t>Εκπαίδευση</t>
  </si>
  <si>
    <t>Δραστηριότητες σχετικές με την ανθρώπινη υγεία και την κοινωνική μέριμνα</t>
  </si>
  <si>
    <t>Τέχνες, διασκέδαση και ψυχαγωγία</t>
  </si>
  <si>
    <t>Άλλες δραστηριότητες παροχής υπηρεσιών</t>
  </si>
  <si>
    <t>Δραστηριότητες νοικοκυριών ως εργοδοτών. Μη διαφοροποιημένες δραστηριότητες νοικοκυριών που αφορούν την παραγωγή αγαθών - και υπηρεσιών - για ιδία χρήση</t>
  </si>
  <si>
    <t>Δραστηριότητες ετερόδικων οργανισμών και φορέων</t>
  </si>
  <si>
    <t>Μη δηλωμένη οικονομική δραστηριότητα</t>
  </si>
  <si>
    <t>Λιμενεργάτες</t>
  </si>
  <si>
    <t>ΥΠΗΡΕΣΙΕΣ ΚΟΙΝΩΝΙΚΩΝ ΑΣΦΑΛΙΣΕΩΝ</t>
  </si>
  <si>
    <t>% μεταβολής του συνόλου 2012/2011</t>
  </si>
  <si>
    <t xml:space="preserve">      ΓΙΑ ΕΠΙΔΟΜΑ ΑΝΕΡΓΙΑΣ ΤΟ 2013 ΚΑΤΑ ΕΠΑΡΧΙΑ, ΦΥΛΟ ΚΑΙ ΜΗΝΑ  </t>
  </si>
  <si>
    <r>
      <t xml:space="preserve"> ΠΙΝΑΚΑΣ ΣΤΟΝ ΟΠΟΙΟ ΦΑΙΝΕΤΑΙ Ο ΑΡΙΘΜΟΣ ΤΩΝ ΑΤΟΜΩΝ ΠΟΥ </t>
    </r>
    <r>
      <rPr>
        <b/>
        <sz val="10"/>
        <rFont val="Arial"/>
        <family val="2"/>
      </rPr>
      <t>ΑΠΟΤΑΘΗΚΑΝ</t>
    </r>
    <r>
      <rPr>
        <sz val="10"/>
        <rFont val="Arial"/>
        <family val="2"/>
      </rPr>
      <t xml:space="preserve"> ΓΙΑ ΕΠΙΔΟΜΑ ΑΝΕΡΓΙΑΣ ΚΑΤΑ ΜΗΝΑ ΚΑΙ ΧΡΟΝΟ ΓΙΑ ΤΑ ΧΡΟΝΙΑ 2006 - 2013</t>
    </r>
  </si>
  <si>
    <t>% μεταβολής 2013/2012</t>
  </si>
  <si>
    <t>ΓΙΑ ΕΠΙΔΟΜΑ ΑΝΕΡΓΙΑΣ ΓΙΑ ΤΑ ΧΡΟΝΙΑ 2012 ΚΑΙ 2013 ΚΑΤΑ ΕΠΑΡΧΙΑ ΚΑΙ ΜΗΝΑ</t>
  </si>
  <si>
    <t xml:space="preserve">ΓΙΑ ΕΠΙΔΟΜΑ ΑΝΕΡΓΙΑΣ ΚΑΤΑ ΦΥΛΟ ΚΑΙ ΜΗΝΑ ΓΙΑ ΤΑ ΧΡΟΝΙΑ 2012 ΚΑΙ 2013 </t>
  </si>
  <si>
    <t>% μεταβολής στον αρ. ατόμων 2013/2012</t>
  </si>
  <si>
    <t xml:space="preserve">UNEMPLOYMENT BENEFIT Y2008-2013 </t>
  </si>
  <si>
    <t xml:space="preserve">Πίνακας στον οποίο φαίνεται ο αριθμός των ατόμων που αποτάθηκαν για επίδομα ανεργίας κατά οικονομική δραστηριότητα και κατάσταση ανέργου, τον Ιανουάριο του 2013 </t>
  </si>
  <si>
    <t>Unemployment benefit by economic activity 2013</t>
  </si>
  <si>
    <t xml:space="preserve">ΠΙΝΑΚΑΣ ΣΤΟΝ ΟΠΟΙΟ ΦΑΙΝΕΤΑΙ Ο ΑΡΙΘΜΟΣ ΤΩΝ ΔΙΚΑΙΟΥΧΩΝ ΕΠΙΔΟΜΑΤΟΣ ΑΝΕΡΓΙΑΣ ΚΑΙ ΤΟ ΠΟΣΟ ΠΛΗΡΩΜΗΣ* ΚΑΤΑ ΜΗΝΑ ΓΙΑ ΤΑ ΧΡΟΝΙΑ 2010 - 2013 </t>
  </si>
  <si>
    <t xml:space="preserve">Πίνακας στον οποίο φαίνεται ο αριθμός των ατόμων που αποτάθηκαν για επίδομα ανεργίας κατά οικονομική δραστηριότητα και κατάσταση ανέργου, το Φεβρουάριο του 2013 </t>
  </si>
  <si>
    <t xml:space="preserve">Ποσοστό επί του συνόλου </t>
  </si>
  <si>
    <t xml:space="preserve">Πίνακας στον οποίο φαίνεται ο αριθμός των ατόμων που αποτάθηκαν για επίδομα ανεργίας κατά οικονομική δραστηριότητα και κατάσταση ανέργου, το Μάρτιο του 2013 </t>
  </si>
  <si>
    <r>
      <t xml:space="preserve"> ΠΙΝΑΚΑΣ ΣΤΟΝ ΟΠΟΙΟ ΦΑΙΝΕΤΑΙ Ο ΑΡΙΘΜΟΣ ΤΩΝ ΠΡΟΣΩΠΩΝ ΠΟΥ </t>
    </r>
    <r>
      <rPr>
        <b/>
        <sz val="10"/>
        <rFont val="Arial"/>
        <family val="2"/>
      </rPr>
      <t xml:space="preserve">ΑΠΟΤΑΘΗΚΑΝ  </t>
    </r>
    <r>
      <rPr>
        <sz val="10"/>
        <rFont val="Arial"/>
        <family val="2"/>
      </rPr>
      <t xml:space="preserve">                                    </t>
    </r>
  </si>
  <si>
    <t>ΠΙΝΑΚΑΣ 1</t>
  </si>
  <si>
    <t>ΠΙΝΑΚΑΣ 2</t>
  </si>
  <si>
    <t>ΠΙΝΑΚΑΣ 3</t>
  </si>
  <si>
    <t>ΠΙΝΑΚΑΣ 4</t>
  </si>
  <si>
    <t>ΠΙΝΑΚΑΣ 5</t>
  </si>
  <si>
    <t>ΠΙΝΑΚΑΣ 6</t>
  </si>
  <si>
    <t xml:space="preserve">         Πίνακας στον οποίο φαίνεται ο αριθμός των ατόμων που αποτάθηκαν για επίδομα ανεργίας κατά οικονομική δραστηριότητα και κατάσταση ανέργου, τον Απρίλιο του 2013</t>
  </si>
  <si>
    <t>% μεταβολής του συνόλου 2013/2012</t>
  </si>
  <si>
    <t xml:space="preserve">UNEMPLOYMENT BENEFIT Y2010-2013 </t>
  </si>
  <si>
    <r>
      <t xml:space="preserve"> ΠΙΝΑΚΑΣ ΣΤΟΝ ΟΠΟΙΟ ΦΑΙΝΕΤΑΙ Ο ΑΡΙΘΜΟΣ </t>
    </r>
    <r>
      <rPr>
        <b/>
        <sz val="10"/>
        <rFont val="Arial"/>
        <family val="2"/>
      </rPr>
      <t xml:space="preserve">ΤΩΝ ΔΙΚΑΙΟΥΧΩΝ </t>
    </r>
    <r>
      <rPr>
        <sz val="10"/>
        <rFont val="Arial"/>
        <family val="2"/>
      </rPr>
      <t>ΕΠΙΔΟΜΑΤΟΣ ΑΝΕΡΓΙΑΣ ΑΠΟ ΤΟ ΤΑΜΕΙΟ ΚΟΙΝΩΝΙΚΩΝ ΑΣΦΑΛΙΣΕΩΝ, ΚΑΤΑ ΜΗΝΑ, ΚΟΙΝΟΤΗΤΑ ΚΑΙ ΚΑΤΑ ΧΡΟΝΟ ΓΙΑ ΤΑ ΧΡΟΝΙΑ 2012 -2013</t>
    </r>
  </si>
  <si>
    <t xml:space="preserve">         Πίνακας στον οποίο φαίνεται ο αριθμός των ατόμων που αποτάθηκαν για επίδομα ανεργίας κατά οικονομική δραστηριότητα και κατάσταση ανέργου, τον Μάϊο του 2013</t>
  </si>
  <si>
    <t>Πίνακας στον οποίο φαίνεται ο αριθμός των ατόμων που αποτάθηκαν για επίδομα ανεργίας κατά οικονομική δραστηριότητα και κατάσταση ανέργου, τον Ιούνιο του 2013</t>
  </si>
  <si>
    <t>Unemployment benefit by economic activity 2013 (Jan-June)</t>
  </si>
  <si>
    <t xml:space="preserve">ΠΙΝΑΚΑΣ ΣΤΟΝ ΟΠΟΙΟ ΦΑΙΝΕΤΑΙ Ο ΑΡΙΘΜΟΣ ΤΩΝ ΠΡΟΣΩΠΩΝ ΠΟΥ ΑΠΟΤΑΘΗΚΑΝ </t>
  </si>
  <si>
    <t>ΠΙΝΑΚΑΣ 7.7</t>
  </si>
  <si>
    <t>Πίνακας στον οποίο φαίνεται ο αριθμός των ατόμων που αποτάθηκαν για επίδομα ανεργίας κατά οικονομική δραστηριότητα και κατάσταση ανέργου, τον Ιούλιο του 2013</t>
  </si>
  <si>
    <t>Unemployment benefit by economic activity 2013 (Jan-Dec)</t>
  </si>
  <si>
    <t>ΠΙΝΑΚΑΣ 7.6</t>
  </si>
  <si>
    <t>ΠΙΝΑΚΑΣ 7.1</t>
  </si>
  <si>
    <t>ΠΙΝΑΚΑΣ 7.2</t>
  </si>
  <si>
    <t>ΠΙΝΑΚΑΣ 7.3</t>
  </si>
  <si>
    <t>ΠΙΝΑΚΑΣ 7.4</t>
  </si>
  <si>
    <t>ΠΙΝΑΚΑΣ 7.5</t>
  </si>
  <si>
    <t>Πίνακας στον οποίο φαίνεται ο αριθμός των ατόμων που αποτάθηκαν για επίδομα ανεργίας κατά οικονομική δραστηριότητα και κατάσταση ανέργου, τον Αύγουστο του 2013</t>
  </si>
  <si>
    <t>ΠΙΝΑΚΑΣ 7.8</t>
  </si>
  <si>
    <t>ΠΙΝΑΚΑΣ 7.9</t>
  </si>
  <si>
    <t>Πίνακας στον οποίο φαίνεται ο αριθμός των ατόμων που αποτάθηκαν για επίδομα ανεργίας κατά οικονομική δραστηριότητα και κατάσταση ανέργου, το Σεπτέμβριο του 2013</t>
  </si>
  <si>
    <t>ΠΙΝΑΚΑΣ 7.10</t>
  </si>
  <si>
    <t>Πίνακας στον οποίο φαίνεται ο αριθμός των ατόμων που αποτάθηκαν για επίδομα ανεργίας κατά οικονομική δραστηριότητα και κατάσταση ανέργου, τον Οκτώβριο του 2013</t>
  </si>
  <si>
    <t>Πίνακας στον οποίο φαίνεται ο αριθμός των ατόμων που αποτάθηκαν για επίδομα ανεργίας κατά οικονομική δραστηριότητα και κατάσταση ανέργου, το Νοέμβριο του 2013</t>
  </si>
  <si>
    <t>ΠΙΝΑΚΑΣ 7.11</t>
  </si>
  <si>
    <t>ΠΟΣΟΣΤΟ ΕΠΙ ΤΟΥ ΣΥΝΟΛΟΥ</t>
  </si>
  <si>
    <t>Πίνακας στον οποίο φαίνεται ο αριθμός των ατόμων που αποτάθηκαν για επίδομα ανεργίας κατά οικονομική δραστηριότητα και κατάσταση ανέργου, το Δεκέμβριο του 2013</t>
  </si>
  <si>
    <t>ΜΕΣΟΣ ΜΗΝΙΑIΟΣ ΑΡΙΘΜΟΣ Α΄ ΕΞΑΜΗΝΟΥ</t>
  </si>
  <si>
    <t>ΠΙΝΑΚΑΣ 7.12</t>
  </si>
  <si>
    <t xml:space="preserve">**  Η ετήσια δαπάνη είναι σύμφωνα με τους τελικούς λογαριασμούς του Ταμείου Κοινωνικών Ασφαλίσεων. Το ετήσιο ποσό του 2013 διαφέρει από τη μηνιαία δαπάνη γιατί περιλαμβάνει και τις αποδόσεις των δαπανών ανεργίας σε / από άλλες χώρες της Ε.Ε. με βάση τον Κανονισμό. </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</si>
</sst>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Δρχ&quot;;\-#,##0\ &quot;Δρχ&quot;"/>
    <numFmt numFmtId="181" formatCode="#,##0\ &quot;Δρχ&quot;;[Red]\-#,##0\ &quot;Δρχ&quot;"/>
    <numFmt numFmtId="182" formatCode="#,##0.00\ &quot;Δρχ&quot;;\-#,##0.00\ &quot;Δρχ&quot;"/>
    <numFmt numFmtId="183" formatCode="#,##0.00\ &quot;Δρχ&quot;;[Red]\-#,##0.00\ &quot;Δρχ&quot;"/>
    <numFmt numFmtId="184" formatCode="_-* #,##0\ &quot;Δρχ&quot;_-;\-* #,##0\ &quot;Δρχ&quot;_-;_-* &quot;-&quot;\ &quot;Δρχ&quot;_-;_-@_-"/>
    <numFmt numFmtId="185" formatCode="_-* #,##0\ _Δ_ρ_χ_-;\-* #,##0\ _Δ_ρ_χ_-;_-* &quot;-&quot;\ _Δ_ρ_χ_-;_-@_-"/>
    <numFmt numFmtId="186" formatCode="_-* #,##0.00\ &quot;Δρχ&quot;_-;\-* #,##0.00\ &quot;Δρχ&quot;_-;_-* &quot;-&quot;??\ &quot;Δρχ&quot;_-;_-@_-"/>
    <numFmt numFmtId="187" formatCode="_-* #,##0.00\ _Δ_ρ_χ_-;\-* #,##0.00\ _Δ_ρ_χ_-;_-* &quot;-&quot;??\ _Δ_ρ_χ_-;_-@_-"/>
    <numFmt numFmtId="188" formatCode="0.0%"/>
    <numFmt numFmtId="189" formatCode="[$-409]d\-mmm\-yy;@"/>
    <numFmt numFmtId="190" formatCode="[$-409]dddd\,\ mmmm\ dd\,\ yyyy"/>
    <numFmt numFmtId="191" formatCode="d/m;@"/>
    <numFmt numFmtId="192" formatCode="[$-408]d\-mmm\-yy;@"/>
    <numFmt numFmtId="193" formatCode="[$-408]dd\-mmm\-yy;@"/>
    <numFmt numFmtId="194" formatCode="#,##0.00\ [$CYP]"/>
    <numFmt numFmtId="195" formatCode="0.0"/>
    <numFmt numFmtId="196" formatCode="[$-408]dddd\,\ d\ mmmm\ yyyy"/>
    <numFmt numFmtId="197" formatCode="d/m/yy;@"/>
    <numFmt numFmtId="198" formatCode="0.000000"/>
    <numFmt numFmtId="199" formatCode="0.00000"/>
    <numFmt numFmtId="200" formatCode="0.0000"/>
    <numFmt numFmtId="201" formatCode="[$-1809]d\ mmmm\ yyyy;@"/>
    <numFmt numFmtId="202" formatCode="dd/mm/yyyy;@"/>
    <numFmt numFmtId="203" formatCode="[$-C09]dd\-mmm\-yy;@"/>
    <numFmt numFmtId="204" formatCode="0.000"/>
    <numFmt numFmtId="205" formatCode="[$€-2]\ #,##0;[Red]\-[$€-2]\ #,##0"/>
    <numFmt numFmtId="206" formatCode="_-* #,##0.0\ _€_-;\-* #,##0.0\ _€_-;_-* &quot;-&quot;\ _€_-;_-@_-"/>
    <numFmt numFmtId="207" formatCode="_-* #,##0.0\ _€_-;\-* #,##0.0\ _€_-;_-* &quot;-&quot;?\ _€_-;_-@_-"/>
    <numFmt numFmtId="208" formatCode="[$€-2]\ #,##0.00;[Red]\-[$€-2]\ #,##0.00"/>
    <numFmt numFmtId="209" formatCode="[$€-2]\ #,##0.0;[Red]\-[$€-2]\ #,##0.0"/>
    <numFmt numFmtId="210" formatCode="#,##0_ ;\-#,##0\ "/>
    <numFmt numFmtId="211" formatCode="0.000%"/>
    <numFmt numFmtId="212" formatCode="[$-809]dd\ mmmm\ yyyy"/>
    <numFmt numFmtId="213" formatCode="[$-408]h:mm:ss\ AM/PM"/>
  </numFmts>
  <fonts count="49">
    <font>
      <sz val="10"/>
      <name val="Arial"/>
      <family val="0"/>
    </font>
    <font>
      <sz val="9"/>
      <name val="Arial"/>
      <family val="2"/>
    </font>
    <font>
      <b/>
      <sz val="9"/>
      <name val="Arial"/>
      <family val="2"/>
    </font>
    <font>
      <b/>
      <sz val="10"/>
      <name val="Arial"/>
      <family val="2"/>
    </font>
    <font>
      <sz val="8"/>
      <name val="Arial"/>
      <family val="2"/>
    </font>
    <font>
      <b/>
      <sz val="8"/>
      <name val="Arial"/>
      <family val="2"/>
    </font>
    <font>
      <u val="single"/>
      <sz val="10"/>
      <color indexed="12"/>
      <name val="Arial"/>
      <family val="2"/>
    </font>
    <font>
      <u val="single"/>
      <sz val="10"/>
      <color indexed="36"/>
      <name val="Arial"/>
      <family val="2"/>
    </font>
    <font>
      <sz val="11"/>
      <name val="Arial"/>
      <family val="2"/>
    </font>
    <font>
      <b/>
      <sz val="11"/>
      <name val="Arial"/>
      <family val="2"/>
    </font>
    <font>
      <b/>
      <u val="single"/>
      <sz val="10"/>
      <name val="Arial"/>
      <family val="2"/>
    </font>
    <font>
      <u val="single"/>
      <sz val="10"/>
      <name val="Arial"/>
      <family val="2"/>
    </font>
    <font>
      <b/>
      <u val="single"/>
      <sz val="9"/>
      <name val="Arial"/>
      <family val="2"/>
    </font>
    <font>
      <b/>
      <u val="single"/>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medium"/>
      <right style="thin"/>
      <top style="thin"/>
      <bottom>
        <color indexed="63"/>
      </bottom>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color indexed="63"/>
      </left>
      <right style="thin"/>
      <top style="medium"/>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thin"/>
      <bottom style="thin"/>
    </border>
    <border>
      <left style="thin"/>
      <right style="medium"/>
      <top style="medium"/>
      <bottom style="medium"/>
    </border>
    <border>
      <left style="medium"/>
      <right style="thin"/>
      <top>
        <color indexed="63"/>
      </top>
      <bottom>
        <color indexed="63"/>
      </bottom>
    </border>
    <border>
      <left>
        <color indexed="63"/>
      </left>
      <right style="medium"/>
      <top>
        <color indexed="63"/>
      </top>
      <bottom>
        <color indexed="63"/>
      </bottom>
    </border>
    <border>
      <left style="medium"/>
      <right style="medium"/>
      <top style="thin"/>
      <bottom style="thin"/>
    </border>
    <border>
      <left style="thin"/>
      <right style="medium"/>
      <top style="medium"/>
      <bottom style="thin"/>
    </border>
    <border>
      <left style="medium"/>
      <right style="thin"/>
      <top style="medium"/>
      <bottom style="medium"/>
    </border>
    <border>
      <left style="thin"/>
      <right style="thin"/>
      <top style="medium"/>
      <bottom style="medium"/>
    </border>
    <border>
      <left>
        <color indexed="63"/>
      </left>
      <right>
        <color indexed="63"/>
      </right>
      <top>
        <color indexed="63"/>
      </top>
      <bottom style="thin"/>
    </border>
    <border>
      <left>
        <color indexed="63"/>
      </left>
      <right style="medium"/>
      <top>
        <color indexed="63"/>
      </top>
      <bottom style="thin"/>
    </border>
    <border>
      <left style="medium"/>
      <right style="medium"/>
      <top style="medium"/>
      <bottom style="medium"/>
    </border>
    <border>
      <left style="medium"/>
      <right style="medium"/>
      <top style="thin"/>
      <bottom style="medium"/>
    </border>
    <border>
      <left style="thin"/>
      <right style="medium"/>
      <top style="thin"/>
      <bottom style="mediu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color indexed="63"/>
      </bottom>
    </border>
    <border>
      <left style="thin"/>
      <right>
        <color indexed="63"/>
      </right>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thin"/>
      <top>
        <color indexed="63"/>
      </top>
      <bottom style="medium"/>
    </border>
    <border>
      <left>
        <color indexed="63"/>
      </left>
      <right style="thin"/>
      <top>
        <color indexed="63"/>
      </top>
      <bottom>
        <color indexed="63"/>
      </bottom>
    </border>
    <border>
      <left>
        <color indexed="63"/>
      </left>
      <right style="medium"/>
      <top style="medium"/>
      <bottom style="medium"/>
    </border>
    <border>
      <left>
        <color indexed="63"/>
      </left>
      <right style="medium"/>
      <top style="thin"/>
      <bottom>
        <color indexed="63"/>
      </bottom>
    </border>
    <border>
      <left style="thin"/>
      <right>
        <color indexed="63"/>
      </right>
      <top style="medium"/>
      <bottom style="medium"/>
    </border>
    <border>
      <left style="thin"/>
      <right style="medium"/>
      <top style="thin"/>
      <bottom>
        <color indexed="63"/>
      </bottom>
    </border>
    <border>
      <left style="thin"/>
      <right style="medium"/>
      <top>
        <color indexed="63"/>
      </top>
      <bottom style="medium"/>
    </border>
    <border>
      <left style="medium"/>
      <right style="medium"/>
      <top style="thin"/>
      <bottom>
        <color indexed="63"/>
      </bottom>
    </border>
    <border>
      <left>
        <color indexed="63"/>
      </left>
      <right style="thin"/>
      <top style="thin"/>
      <bottom style="mediu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style="thin"/>
    </border>
    <border>
      <left style="thin"/>
      <right>
        <color indexed="63"/>
      </right>
      <top>
        <color indexed="63"/>
      </top>
      <bottom>
        <color indexed="63"/>
      </bottom>
    </border>
    <border>
      <left>
        <color indexed="63"/>
      </left>
      <right style="thin"/>
      <top style="medium"/>
      <bottom style="medium"/>
    </border>
    <border>
      <left style="medium"/>
      <right style="medium"/>
      <top>
        <color indexed="63"/>
      </top>
      <bottom style="thin"/>
    </border>
    <border>
      <left style="thin"/>
      <right style="medium"/>
      <top style="medium"/>
      <bottom>
        <color indexed="63"/>
      </bottom>
    </border>
    <border>
      <left style="medium"/>
      <right style="medium"/>
      <top style="medium"/>
      <bottom style="thin"/>
    </border>
    <border>
      <left style="medium"/>
      <right>
        <color indexed="63"/>
      </right>
      <top>
        <color indexed="63"/>
      </top>
      <bottom style="medium"/>
    </border>
    <border>
      <left>
        <color indexed="63"/>
      </left>
      <right>
        <color indexed="63"/>
      </right>
      <top style="thin"/>
      <bottom style="thin"/>
    </border>
    <border>
      <left>
        <color indexed="63"/>
      </left>
      <right>
        <color indexed="63"/>
      </right>
      <top style="thin"/>
      <bottom style="medium"/>
    </border>
    <border>
      <left style="thin"/>
      <right>
        <color indexed="63"/>
      </right>
      <top style="thin"/>
      <bottom>
        <color indexed="63"/>
      </bottom>
    </border>
    <border>
      <left style="thin"/>
      <right>
        <color indexed="63"/>
      </right>
      <top style="thin"/>
      <bottom style="mediu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thin"/>
    </border>
    <border>
      <left style="medium"/>
      <right>
        <color indexed="63"/>
      </right>
      <top style="medium"/>
      <bottom style="thin"/>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1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3" fillId="0" borderId="0" xfId="0" applyFont="1" applyAlignment="1">
      <alignment horizontal="center"/>
    </xf>
    <xf numFmtId="0" fontId="4" fillId="0" borderId="10" xfId="0" applyFont="1" applyBorder="1" applyAlignment="1">
      <alignment/>
    </xf>
    <xf numFmtId="0" fontId="4" fillId="0" borderId="0" xfId="0" applyFont="1" applyAlignment="1">
      <alignment/>
    </xf>
    <xf numFmtId="1" fontId="0" fillId="0" borderId="0" xfId="0" applyNumberFormat="1" applyAlignment="1">
      <alignment/>
    </xf>
    <xf numFmtId="0" fontId="8" fillId="0" borderId="0" xfId="0" applyFont="1" applyAlignment="1">
      <alignment/>
    </xf>
    <xf numFmtId="0" fontId="8" fillId="0" borderId="0" xfId="0" applyFont="1" applyFill="1" applyBorder="1" applyAlignment="1">
      <alignment/>
    </xf>
    <xf numFmtId="0" fontId="1" fillId="0" borderId="11" xfId="0" applyFont="1" applyBorder="1" applyAlignment="1">
      <alignment/>
    </xf>
    <xf numFmtId="0" fontId="2" fillId="0" borderId="11" xfId="0" applyFont="1" applyBorder="1" applyAlignment="1">
      <alignment horizontal="center"/>
    </xf>
    <xf numFmtId="0" fontId="1" fillId="0" borderId="12" xfId="0" applyFont="1" applyBorder="1" applyAlignment="1">
      <alignment/>
    </xf>
    <xf numFmtId="0" fontId="5" fillId="0" borderId="12" xfId="0" applyFont="1" applyBorder="1" applyAlignment="1">
      <alignment/>
    </xf>
    <xf numFmtId="0" fontId="3" fillId="0" borderId="0" xfId="0" applyFont="1" applyBorder="1" applyAlignment="1">
      <alignment/>
    </xf>
    <xf numFmtId="0" fontId="1" fillId="0" borderId="0" xfId="0" applyFont="1" applyBorder="1" applyAlignment="1">
      <alignment/>
    </xf>
    <xf numFmtId="0" fontId="1" fillId="0" borderId="13" xfId="0" applyFont="1" applyBorder="1" applyAlignment="1">
      <alignment/>
    </xf>
    <xf numFmtId="0" fontId="2" fillId="0" borderId="0" xfId="0" applyFont="1" applyBorder="1" applyAlignment="1">
      <alignment/>
    </xf>
    <xf numFmtId="0" fontId="1" fillId="0" borderId="14" xfId="0" applyFont="1" applyBorder="1" applyAlignment="1">
      <alignment/>
    </xf>
    <xf numFmtId="0" fontId="1" fillId="0" borderId="10" xfId="0" applyFont="1" applyBorder="1" applyAlignment="1">
      <alignment/>
    </xf>
    <xf numFmtId="0" fontId="1" fillId="0" borderId="15" xfId="0" applyFont="1" applyBorder="1" applyAlignment="1">
      <alignment/>
    </xf>
    <xf numFmtId="0" fontId="1" fillId="0" borderId="16" xfId="0" applyFont="1" applyBorder="1" applyAlignment="1">
      <alignment/>
    </xf>
    <xf numFmtId="0" fontId="0" fillId="0" borderId="0" xfId="0" applyBorder="1" applyAlignment="1">
      <alignment/>
    </xf>
    <xf numFmtId="188" fontId="1" fillId="0" borderId="17" xfId="60" applyNumberFormat="1" applyFont="1" applyBorder="1" applyAlignment="1">
      <alignment/>
    </xf>
    <xf numFmtId="0" fontId="1" fillId="0" borderId="17" xfId="0" applyFont="1" applyBorder="1" applyAlignment="1">
      <alignment/>
    </xf>
    <xf numFmtId="0" fontId="1" fillId="0" borderId="18" xfId="0" applyFont="1" applyBorder="1" applyAlignment="1">
      <alignment/>
    </xf>
    <xf numFmtId="188" fontId="1" fillId="0" borderId="0" xfId="60" applyNumberFormat="1" applyFont="1" applyBorder="1" applyAlignment="1">
      <alignment/>
    </xf>
    <xf numFmtId="0" fontId="1" fillId="0" borderId="19" xfId="0" applyFont="1" applyBorder="1" applyAlignment="1">
      <alignment/>
    </xf>
    <xf numFmtId="0" fontId="1" fillId="0" borderId="20" xfId="0" applyFont="1" applyBorder="1" applyAlignment="1">
      <alignment/>
    </xf>
    <xf numFmtId="1" fontId="1" fillId="0" borderId="14" xfId="0" applyNumberFormat="1" applyFont="1" applyBorder="1" applyAlignment="1">
      <alignment/>
    </xf>
    <xf numFmtId="0" fontId="1" fillId="0" borderId="0" xfId="0" applyFont="1" applyBorder="1" applyAlignment="1">
      <alignment horizontal="left"/>
    </xf>
    <xf numFmtId="0" fontId="1" fillId="0" borderId="0" xfId="0" applyFont="1" applyBorder="1" applyAlignment="1">
      <alignment horizontal="right"/>
    </xf>
    <xf numFmtId="0" fontId="0" fillId="0" borderId="0" xfId="0" applyFont="1" applyBorder="1" applyAlignment="1">
      <alignment/>
    </xf>
    <xf numFmtId="0" fontId="1" fillId="0" borderId="21" xfId="0" applyFont="1" applyBorder="1" applyAlignment="1">
      <alignment horizontal="center"/>
    </xf>
    <xf numFmtId="0" fontId="1" fillId="0" borderId="22" xfId="0" applyFont="1" applyBorder="1" applyAlignment="1">
      <alignment horizontal="center"/>
    </xf>
    <xf numFmtId="0" fontId="1" fillId="0" borderId="0" xfId="0" applyFont="1" applyBorder="1" applyAlignment="1">
      <alignment horizontal="center"/>
    </xf>
    <xf numFmtId="192" fontId="0" fillId="0" borderId="0" xfId="0" applyNumberFormat="1" applyAlignment="1">
      <alignment horizontal="left"/>
    </xf>
    <xf numFmtId="192" fontId="8" fillId="0" borderId="0" xfId="0" applyNumberFormat="1" applyFont="1" applyAlignment="1">
      <alignment horizontal="left"/>
    </xf>
    <xf numFmtId="193" fontId="0" fillId="0" borderId="0" xfId="0" applyNumberFormat="1" applyFont="1" applyAlignment="1">
      <alignment horizontal="left"/>
    </xf>
    <xf numFmtId="192" fontId="0" fillId="0" borderId="0" xfId="0" applyNumberFormat="1" applyFont="1" applyAlignment="1">
      <alignment horizontal="left"/>
    </xf>
    <xf numFmtId="0" fontId="1" fillId="0" borderId="23" xfId="0" applyFont="1" applyBorder="1" applyAlignment="1">
      <alignment/>
    </xf>
    <xf numFmtId="0" fontId="3" fillId="0" borderId="0" xfId="0" applyFont="1" applyAlignment="1">
      <alignment horizontal="center" wrapText="1"/>
    </xf>
    <xf numFmtId="0" fontId="3" fillId="0" borderId="0" xfId="0" applyFont="1" applyAlignment="1">
      <alignment/>
    </xf>
    <xf numFmtId="0" fontId="3" fillId="0" borderId="0" xfId="0" applyFont="1" applyBorder="1" applyAlignment="1">
      <alignment/>
    </xf>
    <xf numFmtId="0" fontId="0" fillId="0" borderId="0" xfId="0" applyAlignment="1">
      <alignment horizontal="center" wrapText="1"/>
    </xf>
    <xf numFmtId="0" fontId="3" fillId="0" borderId="0" xfId="0" applyFont="1" applyAlignment="1">
      <alignment/>
    </xf>
    <xf numFmtId="0" fontId="1" fillId="0" borderId="24" xfId="0" applyFont="1" applyBorder="1" applyAlignment="1">
      <alignment horizontal="center"/>
    </xf>
    <xf numFmtId="0" fontId="1" fillId="0" borderId="25"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6" xfId="0" applyFont="1" applyBorder="1" applyAlignment="1">
      <alignment horizontal="center"/>
    </xf>
    <xf numFmtId="0" fontId="1" fillId="0" borderId="17"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4" xfId="0" applyFont="1" applyBorder="1" applyAlignment="1">
      <alignment horizontal="center"/>
    </xf>
    <xf numFmtId="0" fontId="1" fillId="0" borderId="10" xfId="0" applyFont="1" applyBorder="1" applyAlignment="1">
      <alignment horizontal="center"/>
    </xf>
    <xf numFmtId="0" fontId="3" fillId="0" borderId="0" xfId="0" applyFont="1" applyAlignment="1">
      <alignment/>
    </xf>
    <xf numFmtId="0" fontId="1" fillId="0" borderId="29" xfId="0" applyFont="1" applyBorder="1" applyAlignment="1">
      <alignment/>
    </xf>
    <xf numFmtId="0" fontId="1" fillId="0" borderId="29" xfId="0" applyFont="1" applyBorder="1" applyAlignment="1">
      <alignment horizontal="center"/>
    </xf>
    <xf numFmtId="0" fontId="1" fillId="0" borderId="12"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4" fillId="0" borderId="29" xfId="0" applyFont="1" applyBorder="1" applyAlignment="1">
      <alignment horizontal="center"/>
    </xf>
    <xf numFmtId="0" fontId="1" fillId="0" borderId="31" xfId="0" applyFont="1" applyBorder="1" applyAlignment="1">
      <alignment/>
    </xf>
    <xf numFmtId="0" fontId="4" fillId="0" borderId="12" xfId="0" applyFont="1" applyBorder="1" applyAlignment="1">
      <alignment/>
    </xf>
    <xf numFmtId="188" fontId="1" fillId="0" borderId="34" xfId="60" applyNumberFormat="1" applyFont="1" applyBorder="1" applyAlignment="1">
      <alignment horizontal="center"/>
    </xf>
    <xf numFmtId="0" fontId="1" fillId="0" borderId="23" xfId="0" applyFont="1" applyBorder="1" applyAlignment="1">
      <alignment horizontal="center"/>
    </xf>
    <xf numFmtId="0" fontId="1" fillId="0" borderId="35" xfId="0" applyFont="1" applyBorder="1" applyAlignment="1">
      <alignment/>
    </xf>
    <xf numFmtId="0" fontId="2" fillId="0" borderId="36" xfId="0" applyFont="1" applyBorder="1" applyAlignment="1">
      <alignment horizontal="center"/>
    </xf>
    <xf numFmtId="0" fontId="2" fillId="0" borderId="37" xfId="0" applyFont="1" applyBorder="1" applyAlignment="1">
      <alignment horizontal="center"/>
    </xf>
    <xf numFmtId="185" fontId="1" fillId="0" borderId="38" xfId="0" applyNumberFormat="1" applyFont="1" applyBorder="1" applyAlignment="1">
      <alignment/>
    </xf>
    <xf numFmtId="185" fontId="1" fillId="0" borderId="39" xfId="0" applyNumberFormat="1" applyFont="1" applyBorder="1" applyAlignment="1">
      <alignment/>
    </xf>
    <xf numFmtId="0" fontId="1" fillId="0" borderId="0" xfId="0" applyFont="1" applyAlignment="1">
      <alignment/>
    </xf>
    <xf numFmtId="192" fontId="1" fillId="0" borderId="0" xfId="0" applyNumberFormat="1" applyFont="1" applyAlignment="1">
      <alignment horizontal="left"/>
    </xf>
    <xf numFmtId="0" fontId="4" fillId="0" borderId="14" xfId="0" applyFont="1" applyBorder="1" applyAlignment="1">
      <alignment horizontal="center"/>
    </xf>
    <xf numFmtId="0" fontId="4" fillId="0" borderId="40" xfId="0" applyFont="1" applyBorder="1" applyAlignment="1">
      <alignment/>
    </xf>
    <xf numFmtId="0" fontId="4" fillId="0" borderId="40" xfId="0" applyFont="1" applyBorder="1" applyAlignment="1">
      <alignment horizontal="center"/>
    </xf>
    <xf numFmtId="0" fontId="4" fillId="0" borderId="12" xfId="0" applyFont="1" applyBorder="1" applyAlignment="1">
      <alignment horizontal="center"/>
    </xf>
    <xf numFmtId="0" fontId="4" fillId="0" borderId="41" xfId="0" applyFont="1" applyBorder="1" applyAlignment="1">
      <alignment horizontal="center"/>
    </xf>
    <xf numFmtId="0" fontId="4" fillId="0" borderId="15" xfId="0" applyFont="1" applyBorder="1" applyAlignment="1">
      <alignment/>
    </xf>
    <xf numFmtId="0" fontId="4" fillId="0" borderId="34" xfId="0" applyFont="1" applyBorder="1" applyAlignment="1">
      <alignment horizontal="center"/>
    </xf>
    <xf numFmtId="0" fontId="5" fillId="0" borderId="34" xfId="0" applyFont="1" applyBorder="1" applyAlignment="1">
      <alignment horizontal="center"/>
    </xf>
    <xf numFmtId="0" fontId="2" fillId="0" borderId="22" xfId="0" applyFont="1" applyBorder="1" applyAlignment="1">
      <alignment horizontal="center"/>
    </xf>
    <xf numFmtId="0" fontId="2" fillId="0" borderId="21" xfId="0" applyFont="1" applyBorder="1" applyAlignment="1">
      <alignment horizontal="center"/>
    </xf>
    <xf numFmtId="0" fontId="2" fillId="0" borderId="0" xfId="0" applyFont="1" applyBorder="1" applyAlignment="1">
      <alignment horizontal="center"/>
    </xf>
    <xf numFmtId="188" fontId="1" fillId="0" borderId="18" xfId="60" applyNumberFormat="1" applyFont="1" applyBorder="1" applyAlignment="1">
      <alignment horizontal="center"/>
    </xf>
    <xf numFmtId="185" fontId="1" fillId="0" borderId="38" xfId="0" applyNumberFormat="1" applyFont="1" applyBorder="1" applyAlignment="1">
      <alignment/>
    </xf>
    <xf numFmtId="185" fontId="1" fillId="0" borderId="39" xfId="0" applyNumberFormat="1" applyFont="1" applyBorder="1" applyAlignment="1">
      <alignment/>
    </xf>
    <xf numFmtId="0" fontId="4" fillId="0" borderId="42" xfId="0" applyFont="1" applyBorder="1" applyAlignment="1">
      <alignment/>
    </xf>
    <xf numFmtId="0" fontId="11" fillId="0" borderId="0" xfId="0" applyFont="1" applyAlignment="1">
      <alignment/>
    </xf>
    <xf numFmtId="185" fontId="1" fillId="0" borderId="43" xfId="0" applyNumberFormat="1" applyFont="1" applyBorder="1" applyAlignment="1">
      <alignment/>
    </xf>
    <xf numFmtId="188" fontId="1" fillId="0" borderId="25" xfId="60" applyNumberFormat="1" applyFont="1" applyBorder="1" applyAlignment="1">
      <alignment/>
    </xf>
    <xf numFmtId="0" fontId="2" fillId="0" borderId="0" xfId="0" applyFont="1" applyAlignment="1">
      <alignment horizontal="center"/>
    </xf>
    <xf numFmtId="0" fontId="1" fillId="0" borderId="0" xfId="0" applyFont="1" applyAlignment="1">
      <alignment/>
    </xf>
    <xf numFmtId="0" fontId="2" fillId="0" borderId="0" xfId="0" applyFont="1" applyAlignment="1">
      <alignment/>
    </xf>
    <xf numFmtId="0" fontId="2" fillId="0" borderId="0" xfId="0" applyFont="1" applyAlignment="1">
      <alignment horizontal="left"/>
    </xf>
    <xf numFmtId="0" fontId="12" fillId="0" borderId="0" xfId="0" applyFont="1" applyAlignment="1">
      <alignment/>
    </xf>
    <xf numFmtId="188" fontId="0" fillId="0" borderId="0" xfId="0" applyNumberFormat="1" applyAlignment="1">
      <alignment/>
    </xf>
    <xf numFmtId="14" fontId="0" fillId="0" borderId="0" xfId="0" applyNumberFormat="1" applyAlignment="1">
      <alignment horizontal="lef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Alignment="1">
      <alignment vertical="center"/>
    </xf>
    <xf numFmtId="1" fontId="2" fillId="0" borderId="44" xfId="0" applyNumberFormat="1" applyFont="1" applyBorder="1" applyAlignment="1">
      <alignment horizontal="center"/>
    </xf>
    <xf numFmtId="0" fontId="1" fillId="0" borderId="0" xfId="0" applyFont="1" applyBorder="1" applyAlignment="1">
      <alignment horizontal="left" wrapText="1"/>
    </xf>
    <xf numFmtId="188" fontId="1" fillId="0" borderId="41" xfId="60" applyNumberFormat="1" applyFont="1" applyBorder="1" applyAlignment="1">
      <alignment horizontal="center"/>
    </xf>
    <xf numFmtId="188" fontId="1" fillId="0" borderId="12" xfId="60" applyNumberFormat="1" applyFont="1" applyBorder="1" applyAlignment="1">
      <alignment horizontal="center"/>
    </xf>
    <xf numFmtId="188" fontId="1" fillId="0" borderId="12" xfId="0" applyNumberFormat="1" applyFont="1" applyBorder="1" applyAlignment="1">
      <alignment horizontal="center"/>
    </xf>
    <xf numFmtId="188" fontId="1" fillId="0" borderId="43" xfId="60" applyNumberFormat="1" applyFont="1" applyBorder="1" applyAlignment="1">
      <alignment horizontal="center"/>
    </xf>
    <xf numFmtId="1" fontId="2" fillId="0" borderId="13" xfId="0" applyNumberFormat="1" applyFont="1" applyBorder="1" applyAlignment="1">
      <alignment/>
    </xf>
    <xf numFmtId="1" fontId="2" fillId="0" borderId="34" xfId="0" applyNumberFormat="1" applyFont="1" applyBorder="1" applyAlignment="1">
      <alignment/>
    </xf>
    <xf numFmtId="0" fontId="0" fillId="0" borderId="20" xfId="0" applyFont="1" applyBorder="1" applyAlignment="1">
      <alignment horizontal="center"/>
    </xf>
    <xf numFmtId="0" fontId="2" fillId="0" borderId="36" xfId="0" applyFont="1" applyBorder="1" applyAlignment="1">
      <alignment horizontal="left"/>
    </xf>
    <xf numFmtId="1" fontId="3" fillId="0" borderId="20" xfId="0" applyNumberFormat="1" applyFont="1" applyBorder="1" applyAlignment="1">
      <alignment horizontal="center"/>
    </xf>
    <xf numFmtId="0" fontId="0" fillId="0" borderId="19" xfId="0" applyFont="1" applyBorder="1" applyAlignment="1">
      <alignment horizontal="center"/>
    </xf>
    <xf numFmtId="0" fontId="0" fillId="0" borderId="0" xfId="0" applyFont="1" applyAlignment="1">
      <alignment vertical="center" wrapText="1"/>
    </xf>
    <xf numFmtId="1" fontId="2" fillId="0" borderId="45" xfId="0" applyNumberFormat="1" applyFont="1" applyBorder="1" applyAlignment="1">
      <alignment horizontal="center"/>
    </xf>
    <xf numFmtId="0" fontId="3" fillId="0" borderId="0" xfId="0" applyFont="1" applyAlignment="1">
      <alignment wrapText="1"/>
    </xf>
    <xf numFmtId="0" fontId="1" fillId="0" borderId="46" xfId="0" applyFont="1" applyBorder="1" applyAlignment="1">
      <alignment/>
    </xf>
    <xf numFmtId="0" fontId="2" fillId="0" borderId="46" xfId="0" applyFont="1" applyBorder="1" applyAlignment="1">
      <alignment horizontal="center"/>
    </xf>
    <xf numFmtId="0" fontId="2" fillId="0" borderId="47" xfId="0" applyFont="1" applyBorder="1" applyAlignment="1">
      <alignment/>
    </xf>
    <xf numFmtId="0" fontId="5" fillId="0" borderId="48" xfId="0" applyFont="1" applyBorder="1" applyAlignment="1">
      <alignment wrapText="1"/>
    </xf>
    <xf numFmtId="0" fontId="1" fillId="0" borderId="0" xfId="0" applyFont="1" applyFill="1" applyBorder="1" applyAlignment="1">
      <alignment/>
    </xf>
    <xf numFmtId="0" fontId="1" fillId="0" borderId="0" xfId="0" applyFont="1" applyAlignment="1">
      <alignment vertical="center"/>
    </xf>
    <xf numFmtId="0" fontId="1" fillId="0" borderId="0" xfId="0" applyFont="1" applyAlignment="1">
      <alignment horizontal="center"/>
    </xf>
    <xf numFmtId="0" fontId="1" fillId="0" borderId="0" xfId="0" applyFont="1" applyAlignment="1">
      <alignment horizontal="left"/>
    </xf>
    <xf numFmtId="185" fontId="1" fillId="0" borderId="43" xfId="0" applyNumberFormat="1" applyFont="1" applyBorder="1" applyAlignment="1">
      <alignment/>
    </xf>
    <xf numFmtId="185" fontId="1" fillId="0" borderId="18" xfId="0" applyNumberFormat="1" applyFont="1" applyBorder="1" applyAlignment="1">
      <alignment horizontal="center"/>
    </xf>
    <xf numFmtId="0" fontId="0" fillId="0" borderId="0" xfId="0" applyFont="1" applyAlignment="1">
      <alignment/>
    </xf>
    <xf numFmtId="0" fontId="4" fillId="0" borderId="35" xfId="0" applyFont="1" applyBorder="1" applyAlignment="1">
      <alignment/>
    </xf>
    <xf numFmtId="0" fontId="4" fillId="0" borderId="49" xfId="0" applyFont="1" applyBorder="1" applyAlignment="1">
      <alignment/>
    </xf>
    <xf numFmtId="185" fontId="1" fillId="0" borderId="50" xfId="0" applyNumberFormat="1" applyFont="1" applyBorder="1" applyAlignment="1">
      <alignment/>
    </xf>
    <xf numFmtId="185" fontId="1" fillId="0" borderId="50" xfId="0" applyNumberFormat="1" applyFont="1" applyBorder="1" applyAlignment="1">
      <alignment/>
    </xf>
    <xf numFmtId="0" fontId="5" fillId="0" borderId="36" xfId="0" applyFont="1" applyBorder="1" applyAlignment="1">
      <alignment wrapText="1"/>
    </xf>
    <xf numFmtId="185" fontId="1" fillId="0" borderId="51" xfId="0" applyNumberFormat="1" applyFont="1" applyBorder="1" applyAlignment="1">
      <alignment horizontal="center"/>
    </xf>
    <xf numFmtId="1" fontId="1" fillId="0" borderId="40" xfId="0" applyNumberFormat="1" applyFont="1" applyBorder="1" applyAlignment="1">
      <alignment horizontal="center"/>
    </xf>
    <xf numFmtId="185" fontId="1" fillId="0" borderId="51" xfId="0" applyNumberFormat="1" applyFont="1" applyBorder="1" applyAlignment="1">
      <alignment horizontal="center"/>
    </xf>
    <xf numFmtId="185" fontId="2" fillId="0" borderId="41" xfId="0" applyNumberFormat="1" applyFont="1" applyBorder="1" applyAlignment="1">
      <alignment horizontal="center"/>
    </xf>
    <xf numFmtId="188" fontId="2" fillId="0" borderId="0" xfId="60" applyNumberFormat="1" applyFont="1" applyBorder="1" applyAlignment="1">
      <alignment horizontal="center"/>
    </xf>
    <xf numFmtId="188" fontId="2" fillId="0" borderId="41" xfId="60" applyNumberFormat="1" applyFont="1" applyBorder="1" applyAlignment="1">
      <alignment horizontal="center"/>
    </xf>
    <xf numFmtId="1" fontId="2" fillId="0" borderId="40" xfId="0" applyNumberFormat="1" applyFont="1" applyBorder="1" applyAlignment="1">
      <alignment horizontal="center"/>
    </xf>
    <xf numFmtId="1" fontId="1" fillId="0" borderId="40" xfId="0" applyNumberFormat="1" applyFont="1" applyBorder="1" applyAlignment="1">
      <alignment horizontal="center"/>
    </xf>
    <xf numFmtId="0" fontId="2" fillId="0" borderId="48" xfId="0" applyFont="1" applyBorder="1" applyAlignment="1">
      <alignment wrapText="1"/>
    </xf>
    <xf numFmtId="3" fontId="2" fillId="0" borderId="52" xfId="0" applyNumberFormat="1" applyFont="1" applyBorder="1" applyAlignment="1">
      <alignment wrapText="1"/>
    </xf>
    <xf numFmtId="185" fontId="2" fillId="0" borderId="53" xfId="0" applyNumberFormat="1" applyFont="1" applyBorder="1" applyAlignment="1">
      <alignment/>
    </xf>
    <xf numFmtId="1" fontId="2" fillId="0" borderId="14" xfId="0" applyNumberFormat="1" applyFont="1" applyBorder="1" applyAlignment="1">
      <alignment horizontal="center"/>
    </xf>
    <xf numFmtId="3" fontId="2" fillId="0" borderId="0" xfId="0" applyNumberFormat="1" applyFont="1" applyBorder="1" applyAlignment="1">
      <alignment wrapText="1"/>
    </xf>
    <xf numFmtId="185" fontId="2" fillId="0" borderId="54" xfId="0" applyNumberFormat="1" applyFont="1" applyBorder="1" applyAlignment="1">
      <alignment/>
    </xf>
    <xf numFmtId="185" fontId="2" fillId="0" borderId="0" xfId="0" applyNumberFormat="1" applyFont="1" applyBorder="1" applyAlignment="1">
      <alignment/>
    </xf>
    <xf numFmtId="185" fontId="2" fillId="0" borderId="53" xfId="0" applyNumberFormat="1" applyFont="1" applyBorder="1" applyAlignment="1">
      <alignment/>
    </xf>
    <xf numFmtId="185" fontId="2" fillId="0" borderId="0" xfId="0" applyNumberFormat="1" applyFont="1" applyBorder="1" applyAlignment="1">
      <alignment horizontal="center"/>
    </xf>
    <xf numFmtId="0" fontId="2" fillId="0" borderId="0" xfId="0" applyFont="1" applyBorder="1" applyAlignment="1">
      <alignment wrapText="1"/>
    </xf>
    <xf numFmtId="0" fontId="1" fillId="0" borderId="0" xfId="0" applyFont="1" applyBorder="1" applyAlignment="1">
      <alignment wrapText="1"/>
    </xf>
    <xf numFmtId="185" fontId="2" fillId="0" borderId="0" xfId="0" applyNumberFormat="1" applyFont="1" applyBorder="1" applyAlignment="1">
      <alignment/>
    </xf>
    <xf numFmtId="0" fontId="0" fillId="0" borderId="0" xfId="0" applyFont="1" applyBorder="1" applyAlignment="1">
      <alignment horizontal="center"/>
    </xf>
    <xf numFmtId="0" fontId="0" fillId="0" borderId="20" xfId="0" applyFont="1" applyBorder="1" applyAlignment="1">
      <alignment/>
    </xf>
    <xf numFmtId="0" fontId="0" fillId="0" borderId="20" xfId="0" applyFont="1" applyBorder="1" applyAlignment="1">
      <alignment horizontal="right"/>
    </xf>
    <xf numFmtId="0" fontId="3" fillId="0" borderId="0" xfId="0" applyFont="1" applyAlignment="1">
      <alignment vertical="center" wrapText="1"/>
    </xf>
    <xf numFmtId="1" fontId="1" fillId="0" borderId="0" xfId="0" applyNumberFormat="1" applyFont="1" applyBorder="1" applyAlignment="1">
      <alignment horizontal="center"/>
    </xf>
    <xf numFmtId="188" fontId="1" fillId="0" borderId="0" xfId="60" applyNumberFormat="1" applyFont="1" applyBorder="1" applyAlignment="1">
      <alignment horizontal="center"/>
    </xf>
    <xf numFmtId="0" fontId="1" fillId="0" borderId="0" xfId="0" applyFont="1" applyAlignment="1">
      <alignment/>
    </xf>
    <xf numFmtId="0" fontId="2" fillId="0" borderId="0" xfId="0" applyFont="1" applyAlignment="1">
      <alignment/>
    </xf>
    <xf numFmtId="0" fontId="0" fillId="0" borderId="31" xfId="0" applyFont="1" applyBorder="1" applyAlignment="1">
      <alignment/>
    </xf>
    <xf numFmtId="1" fontId="3" fillId="0" borderId="20" xfId="0" applyNumberFormat="1" applyFont="1" applyBorder="1" applyAlignment="1">
      <alignment horizontal="right"/>
    </xf>
    <xf numFmtId="1" fontId="3" fillId="0" borderId="45" xfId="0" applyNumberFormat="1" applyFont="1" applyBorder="1" applyAlignment="1">
      <alignment horizontal="right"/>
    </xf>
    <xf numFmtId="1" fontId="3" fillId="0" borderId="31" xfId="0" applyNumberFormat="1" applyFont="1" applyBorder="1" applyAlignment="1">
      <alignment horizontal="right"/>
    </xf>
    <xf numFmtId="0" fontId="0" fillId="0" borderId="55" xfId="0" applyFont="1" applyBorder="1" applyAlignment="1">
      <alignment horizontal="center"/>
    </xf>
    <xf numFmtId="1" fontId="3" fillId="0" borderId="55" xfId="0" applyNumberFormat="1" applyFont="1" applyBorder="1" applyAlignment="1">
      <alignment horizontal="center"/>
    </xf>
    <xf numFmtId="188" fontId="1" fillId="0" borderId="56" xfId="60" applyNumberFormat="1" applyFont="1" applyBorder="1" applyAlignment="1">
      <alignment horizontal="center"/>
    </xf>
    <xf numFmtId="188" fontId="1" fillId="0" borderId="57" xfId="60" applyNumberFormat="1" applyFont="1" applyBorder="1" applyAlignment="1">
      <alignment horizontal="center"/>
    </xf>
    <xf numFmtId="188" fontId="1" fillId="0" borderId="58" xfId="60" applyNumberFormat="1" applyFont="1" applyBorder="1" applyAlignment="1">
      <alignment horizontal="center"/>
    </xf>
    <xf numFmtId="0" fontId="5" fillId="0" borderId="59" xfId="0" applyFont="1" applyBorder="1" applyAlignment="1">
      <alignment horizontal="center"/>
    </xf>
    <xf numFmtId="185" fontId="1" fillId="0" borderId="20" xfId="0" applyNumberFormat="1" applyFont="1" applyBorder="1" applyAlignment="1">
      <alignment/>
    </xf>
    <xf numFmtId="185" fontId="1" fillId="0" borderId="28" xfId="0" applyNumberFormat="1" applyFont="1" applyBorder="1" applyAlignment="1">
      <alignment/>
    </xf>
    <xf numFmtId="185" fontId="2" fillId="0" borderId="60" xfId="0" applyNumberFormat="1" applyFont="1" applyBorder="1" applyAlignment="1">
      <alignment horizontal="center"/>
    </xf>
    <xf numFmtId="185" fontId="1" fillId="0" borderId="25" xfId="0" applyNumberFormat="1" applyFont="1" applyBorder="1" applyAlignment="1">
      <alignment horizontal="center"/>
    </xf>
    <xf numFmtId="185" fontId="1" fillId="0" borderId="20" xfId="0" applyNumberFormat="1" applyFont="1" applyBorder="1" applyAlignment="1">
      <alignment horizontal="center"/>
    </xf>
    <xf numFmtId="185" fontId="1" fillId="0" borderId="17" xfId="0" applyNumberFormat="1" applyFont="1" applyBorder="1" applyAlignment="1">
      <alignment horizontal="center"/>
    </xf>
    <xf numFmtId="185" fontId="2" fillId="0" borderId="10" xfId="0" applyNumberFormat="1" applyFont="1" applyBorder="1" applyAlignment="1">
      <alignment/>
    </xf>
    <xf numFmtId="0" fontId="4" fillId="0" borderId="29" xfId="0" applyFont="1" applyBorder="1" applyAlignment="1">
      <alignment horizontal="center"/>
    </xf>
    <xf numFmtId="0" fontId="4" fillId="0" borderId="60" xfId="0" applyFont="1" applyBorder="1" applyAlignment="1">
      <alignment horizontal="center"/>
    </xf>
    <xf numFmtId="0" fontId="4" fillId="0" borderId="59" xfId="0" applyFont="1" applyBorder="1" applyAlignment="1">
      <alignment/>
    </xf>
    <xf numFmtId="188" fontId="2" fillId="0" borderId="12" xfId="60" applyNumberFormat="1" applyFont="1" applyBorder="1" applyAlignment="1">
      <alignment horizontal="center"/>
    </xf>
    <xf numFmtId="0" fontId="1" fillId="0" borderId="61" xfId="0" applyFont="1" applyBorder="1" applyAlignment="1">
      <alignment horizontal="left" wrapText="1"/>
    </xf>
    <xf numFmtId="1" fontId="2" fillId="0" borderId="14" xfId="0" applyNumberFormat="1" applyFont="1" applyBorder="1" applyAlignment="1">
      <alignment horizontal="center"/>
    </xf>
    <xf numFmtId="1" fontId="2" fillId="0" borderId="59" xfId="0" applyNumberFormat="1" applyFont="1" applyBorder="1" applyAlignment="1">
      <alignment/>
    </xf>
    <xf numFmtId="0" fontId="4" fillId="0" borderId="29" xfId="0" applyFont="1" applyBorder="1" applyAlignment="1">
      <alignment/>
    </xf>
    <xf numFmtId="0" fontId="2" fillId="0" borderId="60" xfId="0" applyFont="1" applyBorder="1" applyAlignment="1">
      <alignment horizontal="center" vertical="center"/>
    </xf>
    <xf numFmtId="0" fontId="2" fillId="0" borderId="33" xfId="0" applyFont="1" applyBorder="1" applyAlignment="1">
      <alignment horizontal="center" vertical="center" wrapText="1"/>
    </xf>
    <xf numFmtId="185" fontId="1" fillId="0" borderId="20" xfId="0" applyNumberFormat="1" applyFont="1" applyBorder="1" applyAlignment="1">
      <alignment/>
    </xf>
    <xf numFmtId="185" fontId="1" fillId="0" borderId="20" xfId="0" applyNumberFormat="1" applyFont="1" applyBorder="1" applyAlignment="1">
      <alignment horizontal="center"/>
    </xf>
    <xf numFmtId="185" fontId="2" fillId="0" borderId="20" xfId="0" applyNumberFormat="1" applyFont="1" applyBorder="1" applyAlignment="1">
      <alignment/>
    </xf>
    <xf numFmtId="185" fontId="2" fillId="0" borderId="20" xfId="0" applyNumberFormat="1" applyFont="1" applyBorder="1" applyAlignment="1">
      <alignment horizontal="center"/>
    </xf>
    <xf numFmtId="185" fontId="1" fillId="0" borderId="21" xfId="0" applyNumberFormat="1" applyFont="1" applyBorder="1" applyAlignment="1">
      <alignment/>
    </xf>
    <xf numFmtId="185" fontId="1" fillId="0" borderId="21" xfId="0" applyNumberFormat="1" applyFont="1" applyBorder="1" applyAlignment="1">
      <alignment horizontal="center"/>
    </xf>
    <xf numFmtId="185" fontId="2" fillId="0" borderId="45" xfId="0" applyNumberFormat="1" applyFont="1" applyBorder="1" applyAlignment="1">
      <alignment horizontal="left"/>
    </xf>
    <xf numFmtId="185" fontId="2" fillId="0" borderId="39" xfId="0" applyNumberFormat="1" applyFont="1" applyBorder="1" applyAlignment="1">
      <alignment horizontal="left"/>
    </xf>
    <xf numFmtId="188" fontId="1" fillId="0" borderId="62" xfId="60" applyNumberFormat="1" applyFont="1" applyBorder="1" applyAlignment="1">
      <alignment horizontal="center"/>
    </xf>
    <xf numFmtId="1" fontId="2" fillId="0" borderId="44" xfId="0" applyNumberFormat="1" applyFont="1" applyBorder="1" applyAlignment="1">
      <alignment horizontal="center"/>
    </xf>
    <xf numFmtId="185" fontId="1" fillId="0" borderId="21" xfId="0" applyNumberFormat="1" applyFont="1" applyBorder="1" applyAlignment="1">
      <alignment/>
    </xf>
    <xf numFmtId="1" fontId="2" fillId="0" borderId="63" xfId="0" applyNumberFormat="1" applyFont="1" applyBorder="1" applyAlignment="1">
      <alignment horizontal="center"/>
    </xf>
    <xf numFmtId="0" fontId="2" fillId="0" borderId="64" xfId="0" applyFont="1" applyBorder="1" applyAlignment="1">
      <alignment horizontal="center"/>
    </xf>
    <xf numFmtId="0" fontId="1" fillId="0" borderId="65" xfId="0" applyFont="1" applyBorder="1" applyAlignment="1">
      <alignment/>
    </xf>
    <xf numFmtId="0" fontId="1" fillId="0" borderId="38" xfId="0" applyFont="1" applyBorder="1" applyAlignment="1">
      <alignment/>
    </xf>
    <xf numFmtId="0" fontId="0" fillId="0" borderId="0" xfId="0" applyBorder="1" applyAlignment="1">
      <alignment horizontal="left"/>
    </xf>
    <xf numFmtId="0" fontId="3" fillId="0" borderId="0" xfId="0" applyFont="1" applyBorder="1" applyAlignment="1">
      <alignment horizontal="left"/>
    </xf>
    <xf numFmtId="185" fontId="2" fillId="0" borderId="0" xfId="0" applyNumberFormat="1" applyFont="1" applyBorder="1" applyAlignment="1">
      <alignment horizontal="left"/>
    </xf>
    <xf numFmtId="0" fontId="1" fillId="0" borderId="53" xfId="0" applyFont="1" applyBorder="1" applyAlignment="1">
      <alignment wrapText="1"/>
    </xf>
    <xf numFmtId="0" fontId="2" fillId="0" borderId="0" xfId="0" applyFont="1" applyBorder="1" applyAlignment="1">
      <alignment horizontal="center"/>
    </xf>
    <xf numFmtId="0" fontId="4" fillId="0" borderId="66" xfId="0" applyFont="1" applyBorder="1" applyAlignment="1">
      <alignment/>
    </xf>
    <xf numFmtId="185" fontId="1" fillId="0" borderId="64" xfId="0" applyNumberFormat="1" applyFont="1" applyBorder="1" applyAlignment="1">
      <alignment/>
    </xf>
    <xf numFmtId="185" fontId="1" fillId="0" borderId="64" xfId="0" applyNumberFormat="1" applyFont="1" applyBorder="1" applyAlignment="1">
      <alignment/>
    </xf>
    <xf numFmtId="0" fontId="4" fillId="0" borderId="10" xfId="0" applyFont="1" applyBorder="1" applyAlignment="1">
      <alignment horizontal="center"/>
    </xf>
    <xf numFmtId="0" fontId="4" fillId="0" borderId="14" xfId="0" applyFont="1" applyBorder="1" applyAlignment="1">
      <alignment horizontal="center"/>
    </xf>
    <xf numFmtId="188" fontId="1" fillId="0" borderId="47" xfId="0" applyNumberFormat="1" applyFont="1" applyBorder="1" applyAlignment="1">
      <alignment horizontal="center"/>
    </xf>
    <xf numFmtId="188" fontId="1" fillId="0" borderId="57" xfId="0" applyNumberFormat="1" applyFont="1" applyBorder="1" applyAlignment="1">
      <alignment horizontal="center"/>
    </xf>
    <xf numFmtId="188" fontId="1" fillId="0" borderId="62" xfId="0" applyNumberFormat="1" applyFont="1" applyBorder="1" applyAlignment="1">
      <alignment horizontal="center"/>
    </xf>
    <xf numFmtId="188" fontId="4" fillId="0" borderId="12" xfId="0" applyNumberFormat="1" applyFont="1" applyBorder="1" applyAlignment="1">
      <alignment horizontal="center"/>
    </xf>
    <xf numFmtId="0" fontId="1" fillId="0" borderId="40" xfId="0" applyFont="1" applyBorder="1" applyAlignment="1">
      <alignment horizontal="center"/>
    </xf>
    <xf numFmtId="188" fontId="4" fillId="0" borderId="12" xfId="60" applyNumberFormat="1" applyFont="1" applyBorder="1" applyAlignment="1">
      <alignment horizontal="center"/>
    </xf>
    <xf numFmtId="1" fontId="2" fillId="0" borderId="15" xfId="0" applyNumberFormat="1" applyFont="1" applyBorder="1" applyAlignment="1">
      <alignment/>
    </xf>
    <xf numFmtId="0" fontId="1" fillId="0" borderId="26" xfId="0" applyFont="1" applyBorder="1" applyAlignment="1">
      <alignment/>
    </xf>
    <xf numFmtId="188" fontId="1" fillId="0" borderId="57" xfId="0" applyNumberFormat="1" applyFont="1" applyBorder="1" applyAlignment="1">
      <alignment wrapText="1"/>
    </xf>
    <xf numFmtId="188" fontId="2" fillId="0" borderId="61" xfId="0" applyNumberFormat="1" applyFont="1" applyBorder="1" applyAlignment="1">
      <alignment wrapText="1"/>
    </xf>
    <xf numFmtId="188" fontId="1" fillId="0" borderId="47" xfId="60" applyNumberFormat="1" applyFont="1" applyBorder="1" applyAlignment="1">
      <alignment horizontal="center"/>
    </xf>
    <xf numFmtId="188" fontId="1" fillId="0" borderId="62" xfId="60" applyNumberFormat="1" applyFont="1" applyBorder="1" applyAlignment="1">
      <alignment horizontal="center"/>
    </xf>
    <xf numFmtId="188" fontId="1" fillId="0" borderId="57" xfId="60" applyNumberFormat="1" applyFont="1" applyBorder="1" applyAlignment="1">
      <alignment horizontal="center"/>
    </xf>
    <xf numFmtId="0" fontId="2" fillId="0" borderId="32" xfId="0" applyFont="1" applyBorder="1" applyAlignment="1">
      <alignment horizontal="center"/>
    </xf>
    <xf numFmtId="0" fontId="1" fillId="0" borderId="59" xfId="0" applyFont="1" applyBorder="1" applyAlignment="1">
      <alignment/>
    </xf>
    <xf numFmtId="1" fontId="1" fillId="0" borderId="29" xfId="0" applyNumberFormat="1" applyFont="1" applyBorder="1" applyAlignment="1">
      <alignment/>
    </xf>
    <xf numFmtId="188" fontId="1" fillId="0" borderId="43" xfId="0" applyNumberFormat="1" applyFont="1" applyBorder="1" applyAlignment="1">
      <alignment horizontal="center"/>
    </xf>
    <xf numFmtId="0" fontId="1" fillId="0" borderId="67" xfId="0" applyFont="1" applyBorder="1" applyAlignment="1">
      <alignment/>
    </xf>
    <xf numFmtId="0" fontId="1" fillId="0" borderId="28" xfId="0" applyFont="1" applyBorder="1" applyAlignment="1">
      <alignment/>
    </xf>
    <xf numFmtId="0" fontId="1" fillId="0" borderId="50" xfId="0" applyFont="1" applyBorder="1" applyAlignment="1">
      <alignment/>
    </xf>
    <xf numFmtId="185" fontId="1" fillId="0" borderId="68" xfId="0" applyNumberFormat="1" applyFont="1" applyBorder="1" applyAlignment="1">
      <alignment/>
    </xf>
    <xf numFmtId="185" fontId="2" fillId="0" borderId="68" xfId="0" applyNumberFormat="1" applyFont="1" applyBorder="1" applyAlignment="1">
      <alignment/>
    </xf>
    <xf numFmtId="185" fontId="2" fillId="0" borderId="63" xfId="0" applyNumberFormat="1" applyFont="1" applyBorder="1" applyAlignment="1">
      <alignment horizontal="left"/>
    </xf>
    <xf numFmtId="185" fontId="1" fillId="0" borderId="17" xfId="0" applyNumberFormat="1" applyFont="1" applyBorder="1" applyAlignment="1">
      <alignment/>
    </xf>
    <xf numFmtId="0" fontId="0" fillId="0" borderId="69" xfId="0" applyBorder="1" applyAlignment="1">
      <alignment/>
    </xf>
    <xf numFmtId="0" fontId="3" fillId="0" borderId="70" xfId="0" applyFont="1" applyBorder="1" applyAlignment="1">
      <alignment/>
    </xf>
    <xf numFmtId="0" fontId="0" fillId="0" borderId="70" xfId="0" applyBorder="1" applyAlignment="1">
      <alignment/>
    </xf>
    <xf numFmtId="0" fontId="0" fillId="0" borderId="71" xfId="0" applyBorder="1" applyAlignment="1">
      <alignment horizontal="left"/>
    </xf>
    <xf numFmtId="0" fontId="0" fillId="0" borderId="71" xfId="0" applyBorder="1" applyAlignment="1">
      <alignment horizontal="left" vertical="center"/>
    </xf>
    <xf numFmtId="188" fontId="0" fillId="0" borderId="38" xfId="0" applyNumberFormat="1" applyBorder="1" applyAlignment="1">
      <alignment/>
    </xf>
    <xf numFmtId="188" fontId="3" fillId="0" borderId="38" xfId="0" applyNumberFormat="1" applyFont="1" applyBorder="1" applyAlignment="1">
      <alignment/>
    </xf>
    <xf numFmtId="185" fontId="1" fillId="0" borderId="72" xfId="0" applyNumberFormat="1" applyFont="1" applyBorder="1" applyAlignment="1">
      <alignment/>
    </xf>
    <xf numFmtId="188" fontId="0" fillId="0" borderId="64" xfId="0" applyNumberFormat="1" applyBorder="1" applyAlignment="1">
      <alignment/>
    </xf>
    <xf numFmtId="188" fontId="3" fillId="0" borderId="39" xfId="0" applyNumberFormat="1" applyFont="1" applyBorder="1" applyAlignment="1">
      <alignment/>
    </xf>
    <xf numFmtId="0" fontId="0" fillId="0" borderId="55" xfId="0" applyFont="1" applyBorder="1" applyAlignment="1">
      <alignment horizontal="center"/>
    </xf>
    <xf numFmtId="0" fontId="0" fillId="0" borderId="20" xfId="0" applyFont="1" applyBorder="1" applyAlignment="1">
      <alignment horizontal="center"/>
    </xf>
    <xf numFmtId="0" fontId="3" fillId="0" borderId="0" xfId="0" applyFont="1" applyBorder="1" applyAlignment="1">
      <alignment horizontal="center"/>
    </xf>
    <xf numFmtId="185" fontId="3" fillId="0" borderId="0" xfId="0" applyNumberFormat="1" applyFont="1" applyBorder="1" applyAlignment="1">
      <alignment horizontal="center"/>
    </xf>
    <xf numFmtId="192" fontId="1" fillId="0" borderId="0" xfId="0" applyNumberFormat="1" applyFont="1" applyAlignment="1">
      <alignment/>
    </xf>
    <xf numFmtId="188" fontId="0" fillId="0" borderId="38" xfId="0" applyNumberFormat="1" applyFont="1" applyBorder="1" applyAlignment="1">
      <alignment wrapText="1"/>
    </xf>
    <xf numFmtId="188" fontId="3" fillId="0" borderId="38" xfId="0" applyNumberFormat="1" applyFont="1" applyBorder="1" applyAlignment="1">
      <alignment wrapText="1"/>
    </xf>
    <xf numFmtId="188" fontId="0" fillId="0" borderId="64" xfId="0" applyNumberFormat="1" applyFont="1" applyBorder="1" applyAlignment="1">
      <alignment wrapText="1"/>
    </xf>
    <xf numFmtId="1" fontId="3" fillId="0" borderId="45" xfId="0" applyNumberFormat="1" applyFont="1" applyBorder="1" applyAlignment="1">
      <alignment horizontal="center"/>
    </xf>
    <xf numFmtId="188" fontId="0" fillId="0" borderId="39" xfId="0" applyNumberFormat="1" applyFont="1" applyBorder="1" applyAlignment="1">
      <alignment wrapText="1"/>
    </xf>
    <xf numFmtId="185" fontId="1" fillId="0" borderId="25" xfId="0" applyNumberFormat="1" applyFont="1" applyBorder="1" applyAlignment="1">
      <alignment horizontal="center"/>
    </xf>
    <xf numFmtId="188" fontId="1" fillId="0" borderId="56" xfId="60" applyNumberFormat="1" applyFont="1" applyBorder="1" applyAlignment="1">
      <alignment horizontal="center"/>
    </xf>
    <xf numFmtId="185" fontId="1" fillId="0" borderId="30" xfId="0" applyNumberFormat="1" applyFont="1" applyBorder="1" applyAlignment="1">
      <alignment horizontal="center"/>
    </xf>
    <xf numFmtId="185" fontId="1" fillId="0" borderId="31" xfId="0" applyNumberFormat="1" applyFont="1" applyBorder="1" applyAlignment="1">
      <alignment horizontal="center"/>
    </xf>
    <xf numFmtId="185" fontId="1" fillId="0" borderId="17" xfId="0" applyNumberFormat="1" applyFont="1" applyBorder="1" applyAlignment="1">
      <alignment horizontal="center"/>
    </xf>
    <xf numFmtId="185" fontId="1" fillId="0" borderId="23" xfId="0" applyNumberFormat="1" applyFont="1" applyBorder="1" applyAlignment="1">
      <alignment horizontal="center"/>
    </xf>
    <xf numFmtId="185" fontId="1" fillId="0" borderId="31" xfId="0" applyNumberFormat="1" applyFont="1" applyBorder="1" applyAlignment="1">
      <alignment/>
    </xf>
    <xf numFmtId="185" fontId="1" fillId="0" borderId="32" xfId="0" applyNumberFormat="1" applyFont="1" applyBorder="1" applyAlignment="1">
      <alignment/>
    </xf>
    <xf numFmtId="185" fontId="2" fillId="0" borderId="73" xfId="0" applyNumberFormat="1" applyFont="1" applyBorder="1" applyAlignment="1">
      <alignment horizontal="center"/>
    </xf>
    <xf numFmtId="188" fontId="2" fillId="0" borderId="61" xfId="60" applyNumberFormat="1" applyFont="1" applyBorder="1" applyAlignment="1">
      <alignment horizontal="center"/>
    </xf>
    <xf numFmtId="185" fontId="1" fillId="0" borderId="28" xfId="0" applyNumberFormat="1" applyFont="1" applyBorder="1" applyAlignment="1">
      <alignment/>
    </xf>
    <xf numFmtId="188" fontId="2" fillId="0" borderId="12" xfId="60" applyNumberFormat="1" applyFont="1" applyBorder="1" applyAlignment="1">
      <alignment horizontal="center"/>
    </xf>
    <xf numFmtId="185" fontId="2" fillId="0" borderId="45" xfId="0" applyNumberFormat="1" applyFont="1" applyBorder="1" applyAlignment="1">
      <alignment horizontal="center"/>
    </xf>
    <xf numFmtId="1" fontId="3" fillId="0" borderId="44" xfId="0" applyNumberFormat="1" applyFont="1" applyBorder="1" applyAlignment="1">
      <alignment horizontal="center"/>
    </xf>
    <xf numFmtId="0" fontId="0" fillId="0" borderId="31" xfId="0" applyFont="1" applyBorder="1" applyAlignment="1">
      <alignment horizontal="center"/>
    </xf>
    <xf numFmtId="1" fontId="3" fillId="0" borderId="31" xfId="0" applyNumberFormat="1" applyFont="1" applyBorder="1" applyAlignment="1">
      <alignment horizontal="center"/>
    </xf>
    <xf numFmtId="1" fontId="2" fillId="0" borderId="73" xfId="0" applyNumberFormat="1" applyFont="1" applyBorder="1" applyAlignment="1">
      <alignment horizontal="center"/>
    </xf>
    <xf numFmtId="0" fontId="2" fillId="0" borderId="35" xfId="0" applyFont="1" applyBorder="1" applyAlignment="1">
      <alignment/>
    </xf>
    <xf numFmtId="0" fontId="1" fillId="0" borderId="74" xfId="0" applyFont="1" applyBorder="1" applyAlignment="1">
      <alignment/>
    </xf>
    <xf numFmtId="0" fontId="1" fillId="0" borderId="42" xfId="0" applyFont="1" applyBorder="1" applyAlignment="1">
      <alignment/>
    </xf>
    <xf numFmtId="0" fontId="2" fillId="0" borderId="48" xfId="0" applyFont="1" applyBorder="1" applyAlignment="1">
      <alignment horizontal="left" vertical="center" wrapText="1"/>
    </xf>
    <xf numFmtId="1" fontId="2" fillId="0" borderId="59" xfId="0" applyNumberFormat="1" applyFont="1" applyBorder="1" applyAlignment="1">
      <alignment horizontal="center"/>
    </xf>
    <xf numFmtId="1" fontId="2" fillId="0" borderId="16" xfId="0" applyNumberFormat="1" applyFont="1" applyBorder="1" applyAlignment="1">
      <alignment horizontal="center"/>
    </xf>
    <xf numFmtId="188" fontId="2" fillId="0" borderId="34" xfId="60" applyNumberFormat="1" applyFont="1" applyBorder="1" applyAlignment="1">
      <alignment horizontal="center"/>
    </xf>
    <xf numFmtId="1" fontId="2" fillId="0" borderId="15" xfId="0" applyNumberFormat="1" applyFont="1" applyBorder="1" applyAlignment="1">
      <alignment horizontal="center"/>
    </xf>
    <xf numFmtId="188" fontId="2" fillId="0" borderId="34" xfId="0" applyNumberFormat="1" applyFont="1" applyBorder="1" applyAlignment="1">
      <alignment horizontal="center"/>
    </xf>
    <xf numFmtId="0" fontId="10" fillId="0" borderId="0" xfId="0" applyFont="1" applyAlignment="1">
      <alignment/>
    </xf>
    <xf numFmtId="0" fontId="10" fillId="0" borderId="0" xfId="0" applyFont="1" applyAlignment="1">
      <alignment/>
    </xf>
    <xf numFmtId="188" fontId="2" fillId="0" borderId="65" xfId="60" applyNumberFormat="1" applyFont="1" applyBorder="1" applyAlignment="1">
      <alignment horizontal="center"/>
    </xf>
    <xf numFmtId="205" fontId="2" fillId="0" borderId="53" xfId="0" applyNumberFormat="1" applyFont="1" applyBorder="1" applyAlignment="1">
      <alignment horizontal="center" wrapText="1"/>
    </xf>
    <xf numFmtId="0" fontId="5" fillId="0" borderId="35" xfId="0" applyFont="1" applyBorder="1" applyAlignment="1">
      <alignment wrapText="1"/>
    </xf>
    <xf numFmtId="1" fontId="2" fillId="0" borderId="10" xfId="0" applyNumberFormat="1" applyFont="1" applyBorder="1" applyAlignment="1">
      <alignment horizontal="center"/>
    </xf>
    <xf numFmtId="185" fontId="1" fillId="0" borderId="75" xfId="0" applyNumberFormat="1" applyFont="1" applyBorder="1" applyAlignment="1">
      <alignment horizontal="center"/>
    </xf>
    <xf numFmtId="185" fontId="1" fillId="0" borderId="75" xfId="0" applyNumberFormat="1" applyFont="1" applyBorder="1" applyAlignment="1">
      <alignment horizontal="center"/>
    </xf>
    <xf numFmtId="185" fontId="2" fillId="0" borderId="12" xfId="0" applyNumberFormat="1" applyFont="1" applyBorder="1" applyAlignment="1">
      <alignment horizontal="center"/>
    </xf>
    <xf numFmtId="185" fontId="2" fillId="0" borderId="29" xfId="0" applyNumberFormat="1" applyFont="1" applyBorder="1" applyAlignment="1">
      <alignment horizontal="center"/>
    </xf>
    <xf numFmtId="185" fontId="2" fillId="0" borderId="29" xfId="0" applyNumberFormat="1" applyFont="1" applyBorder="1" applyAlignment="1">
      <alignment horizontal="center"/>
    </xf>
    <xf numFmtId="1" fontId="2" fillId="0" borderId="29" xfId="0" applyNumberFormat="1" applyFont="1" applyBorder="1" applyAlignment="1">
      <alignment horizontal="center"/>
    </xf>
    <xf numFmtId="0" fontId="4" fillId="0" borderId="76" xfId="0" applyFont="1" applyBorder="1" applyAlignment="1">
      <alignment/>
    </xf>
    <xf numFmtId="185" fontId="1" fillId="0" borderId="25" xfId="0" applyNumberFormat="1" applyFont="1" applyBorder="1" applyAlignment="1">
      <alignment/>
    </xf>
    <xf numFmtId="185" fontId="1" fillId="0" borderId="25" xfId="0" applyNumberFormat="1" applyFont="1" applyBorder="1" applyAlignment="1">
      <alignment/>
    </xf>
    <xf numFmtId="185" fontId="1" fillId="0" borderId="30" xfId="0" applyNumberFormat="1" applyFont="1" applyBorder="1" applyAlignment="1">
      <alignment/>
    </xf>
    <xf numFmtId="0" fontId="1" fillId="0" borderId="59" xfId="0" applyFont="1" applyBorder="1" applyAlignment="1">
      <alignment horizontal="center"/>
    </xf>
    <xf numFmtId="188" fontId="1" fillId="0" borderId="58" xfId="60" applyNumberFormat="1" applyFont="1" applyBorder="1" applyAlignment="1">
      <alignment horizontal="center"/>
    </xf>
    <xf numFmtId="0" fontId="2" fillId="0" borderId="21" xfId="0" applyFont="1" applyBorder="1" applyAlignment="1">
      <alignment horizontal="center" vertical="center" wrapText="1"/>
    </xf>
    <xf numFmtId="185" fontId="2" fillId="0" borderId="16" xfId="0" applyNumberFormat="1" applyFont="1" applyBorder="1" applyAlignment="1">
      <alignment horizontal="left"/>
    </xf>
    <xf numFmtId="185" fontId="2" fillId="0" borderId="65" xfId="0" applyNumberFormat="1" applyFont="1" applyBorder="1" applyAlignment="1">
      <alignment horizontal="left"/>
    </xf>
    <xf numFmtId="185" fontId="1" fillId="0" borderId="28" xfId="0" applyNumberFormat="1" applyFont="1" applyBorder="1" applyAlignment="1">
      <alignment horizontal="center"/>
    </xf>
    <xf numFmtId="0" fontId="0" fillId="0" borderId="0" xfId="0" applyAlignment="1">
      <alignment horizontal="center"/>
    </xf>
    <xf numFmtId="0" fontId="1" fillId="0" borderId="55" xfId="0" applyFont="1" applyBorder="1" applyAlignment="1">
      <alignment/>
    </xf>
    <xf numFmtId="0" fontId="1" fillId="0" borderId="77" xfId="0" applyFont="1" applyBorder="1" applyAlignment="1">
      <alignment horizontal="center"/>
    </xf>
    <xf numFmtId="188" fontId="1" fillId="0" borderId="38" xfId="60" applyNumberFormat="1" applyFont="1" applyBorder="1" applyAlignment="1">
      <alignment horizontal="center"/>
    </xf>
    <xf numFmtId="185" fontId="1" fillId="0" borderId="78" xfId="0" applyNumberFormat="1" applyFont="1" applyBorder="1" applyAlignment="1">
      <alignment/>
    </xf>
    <xf numFmtId="185" fontId="1" fillId="0" borderId="79" xfId="0" applyNumberFormat="1" applyFont="1" applyBorder="1" applyAlignment="1">
      <alignment/>
    </xf>
    <xf numFmtId="0" fontId="1" fillId="0" borderId="65" xfId="0" applyFont="1" applyBorder="1" applyAlignment="1">
      <alignment horizontal="center"/>
    </xf>
    <xf numFmtId="185" fontId="1" fillId="0" borderId="55" xfId="0" applyNumberFormat="1" applyFont="1" applyBorder="1" applyAlignment="1">
      <alignment/>
    </xf>
    <xf numFmtId="185" fontId="1" fillId="0" borderId="55" xfId="0" applyNumberFormat="1" applyFont="1" applyBorder="1" applyAlignment="1">
      <alignment/>
    </xf>
    <xf numFmtId="0" fontId="2" fillId="0" borderId="28" xfId="0" applyFont="1" applyBorder="1" applyAlignment="1">
      <alignment horizontal="center" vertical="center" wrapText="1"/>
    </xf>
    <xf numFmtId="185" fontId="1" fillId="0" borderId="80" xfId="0" applyNumberFormat="1" applyFont="1" applyBorder="1" applyAlignment="1">
      <alignment/>
    </xf>
    <xf numFmtId="185" fontId="1" fillId="0" borderId="81" xfId="0" applyNumberFormat="1" applyFont="1" applyBorder="1" applyAlignment="1">
      <alignment/>
    </xf>
    <xf numFmtId="185" fontId="2" fillId="0" borderId="82" xfId="0" applyNumberFormat="1" applyFont="1" applyBorder="1" applyAlignment="1">
      <alignment horizontal="left"/>
    </xf>
    <xf numFmtId="10" fontId="0" fillId="0" borderId="43" xfId="57" applyNumberFormat="1" applyBorder="1">
      <alignment/>
      <protection/>
    </xf>
    <xf numFmtId="10" fontId="0" fillId="0" borderId="38" xfId="57" applyNumberFormat="1" applyBorder="1">
      <alignment/>
      <protection/>
    </xf>
    <xf numFmtId="10" fontId="0" fillId="0" borderId="64" xfId="57" applyNumberFormat="1" applyBorder="1">
      <alignment/>
      <protection/>
    </xf>
    <xf numFmtId="10" fontId="3" fillId="0" borderId="39" xfId="57" applyNumberFormat="1" applyFont="1" applyBorder="1">
      <alignment/>
      <protection/>
    </xf>
    <xf numFmtId="0" fontId="2" fillId="0" borderId="29" xfId="0" applyFont="1" applyBorder="1" applyAlignment="1">
      <alignment/>
    </xf>
    <xf numFmtId="0" fontId="2" fillId="0" borderId="10" xfId="0" applyFont="1" applyBorder="1" applyAlignment="1">
      <alignment/>
    </xf>
    <xf numFmtId="0" fontId="2" fillId="0" borderId="12" xfId="0" applyFont="1" applyBorder="1" applyAlignment="1">
      <alignment/>
    </xf>
    <xf numFmtId="0" fontId="2" fillId="0" borderId="14" xfId="0" applyFont="1" applyBorder="1" applyAlignment="1">
      <alignment/>
    </xf>
    <xf numFmtId="0" fontId="0" fillId="0" borderId="23" xfId="0" applyFont="1" applyBorder="1" applyAlignment="1">
      <alignment horizontal="center"/>
    </xf>
    <xf numFmtId="0" fontId="0" fillId="0" borderId="17" xfId="0" applyFont="1" applyBorder="1" applyAlignment="1">
      <alignment horizontal="center"/>
    </xf>
    <xf numFmtId="0" fontId="0" fillId="0" borderId="68" xfId="0" applyFont="1" applyBorder="1" applyAlignment="1">
      <alignment horizontal="center"/>
    </xf>
    <xf numFmtId="188" fontId="0" fillId="0" borderId="18" xfId="0" applyNumberFormat="1" applyFont="1" applyBorder="1" applyAlignment="1">
      <alignment wrapText="1"/>
    </xf>
    <xf numFmtId="0" fontId="0" fillId="0" borderId="26" xfId="0" applyFont="1" applyBorder="1" applyAlignment="1">
      <alignment horizontal="center"/>
    </xf>
    <xf numFmtId="0" fontId="2" fillId="0" borderId="37" xfId="0" applyFont="1" applyBorder="1" applyAlignment="1">
      <alignment horizontal="left" vertical="center"/>
    </xf>
    <xf numFmtId="0" fontId="2" fillId="0" borderId="59"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6" xfId="0" applyFont="1" applyFill="1" applyBorder="1" applyAlignment="1">
      <alignment vertical="center"/>
    </xf>
    <xf numFmtId="0" fontId="2" fillId="0" borderId="82"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 fillId="0" borderId="66" xfId="0" applyFont="1" applyBorder="1" applyAlignment="1">
      <alignment/>
    </xf>
    <xf numFmtId="0" fontId="4" fillId="0" borderId="35" xfId="0" applyFont="1" applyBorder="1" applyAlignment="1">
      <alignment/>
    </xf>
    <xf numFmtId="0" fontId="2" fillId="0" borderId="36" xfId="0" applyFont="1" applyBorder="1" applyAlignment="1">
      <alignment horizontal="left"/>
    </xf>
    <xf numFmtId="0" fontId="1" fillId="0" borderId="37" xfId="0" applyFont="1" applyBorder="1" applyAlignment="1">
      <alignment/>
    </xf>
    <xf numFmtId="0" fontId="1" fillId="0" borderId="74" xfId="0" applyFont="1" applyBorder="1" applyAlignment="1">
      <alignment/>
    </xf>
    <xf numFmtId="0" fontId="1" fillId="0" borderId="42" xfId="0" applyFont="1" applyBorder="1" applyAlignment="1">
      <alignment/>
    </xf>
    <xf numFmtId="0" fontId="1" fillId="0" borderId="66" xfId="0" applyFont="1" applyBorder="1" applyAlignment="1">
      <alignment/>
    </xf>
    <xf numFmtId="0" fontId="1" fillId="0" borderId="76" xfId="0" applyFont="1" applyBorder="1" applyAlignment="1">
      <alignment/>
    </xf>
    <xf numFmtId="0" fontId="5" fillId="0" borderId="12" xfId="0" applyFont="1" applyBorder="1" applyAlignment="1">
      <alignment/>
    </xf>
    <xf numFmtId="0" fontId="5" fillId="0" borderId="29" xfId="0" applyFont="1" applyBorder="1" applyAlignment="1">
      <alignment/>
    </xf>
    <xf numFmtId="0" fontId="5" fillId="0" borderId="10" xfId="0" applyFont="1" applyBorder="1" applyAlignment="1">
      <alignment/>
    </xf>
    <xf numFmtId="0" fontId="5" fillId="0" borderId="14"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60" xfId="0" applyFont="1" applyBorder="1" applyAlignment="1">
      <alignment/>
    </xf>
    <xf numFmtId="0" fontId="5" fillId="0" borderId="33" xfId="0" applyFont="1" applyBorder="1" applyAlignment="1">
      <alignment/>
    </xf>
    <xf numFmtId="0" fontId="5" fillId="0" borderId="41" xfId="0" applyFont="1" applyBorder="1" applyAlignment="1">
      <alignment/>
    </xf>
    <xf numFmtId="0" fontId="5" fillId="0" borderId="40" xfId="0" applyFont="1" applyBorder="1" applyAlignment="1">
      <alignment/>
    </xf>
    <xf numFmtId="0" fontId="5" fillId="0" borderId="0" xfId="0" applyFont="1" applyBorder="1" applyAlignment="1">
      <alignment/>
    </xf>
    <xf numFmtId="0" fontId="1" fillId="0" borderId="60" xfId="0" applyFont="1" applyBorder="1" applyAlignment="1">
      <alignment/>
    </xf>
    <xf numFmtId="0" fontId="1" fillId="0" borderId="33" xfId="0" applyFont="1" applyBorder="1" applyAlignment="1">
      <alignment/>
    </xf>
    <xf numFmtId="0" fontId="1" fillId="0" borderId="35" xfId="0" applyFont="1" applyBorder="1" applyAlignment="1">
      <alignment/>
    </xf>
    <xf numFmtId="0" fontId="2" fillId="0" borderId="80" xfId="0" applyFont="1" applyBorder="1" applyAlignment="1">
      <alignment horizontal="center"/>
    </xf>
    <xf numFmtId="0" fontId="1" fillId="0" borderId="82" xfId="0" applyFont="1" applyBorder="1" applyAlignment="1">
      <alignment/>
    </xf>
    <xf numFmtId="0" fontId="2" fillId="0" borderId="35" xfId="0" applyFont="1" applyBorder="1" applyAlignment="1">
      <alignment/>
    </xf>
    <xf numFmtId="0" fontId="2" fillId="0" borderId="36" xfId="0" applyFont="1" applyBorder="1" applyAlignment="1">
      <alignment horizontal="center"/>
    </xf>
    <xf numFmtId="0" fontId="1" fillId="0" borderId="37" xfId="0" applyFont="1" applyBorder="1" applyAlignment="1">
      <alignment horizontal="center"/>
    </xf>
    <xf numFmtId="0" fontId="1" fillId="0" borderId="49" xfId="0" applyFont="1" applyBorder="1" applyAlignment="1">
      <alignment/>
    </xf>
    <xf numFmtId="0" fontId="1" fillId="0" borderId="16" xfId="0" applyFont="1" applyBorder="1" applyAlignment="1">
      <alignment horizontal="center"/>
    </xf>
    <xf numFmtId="0" fontId="0" fillId="0" borderId="17" xfId="0" applyFont="1" applyBorder="1" applyAlignment="1">
      <alignment/>
    </xf>
    <xf numFmtId="0" fontId="0" fillId="0" borderId="17" xfId="0" applyFont="1" applyFill="1" applyBorder="1" applyAlignment="1">
      <alignment/>
    </xf>
    <xf numFmtId="0" fontId="0" fillId="0" borderId="23" xfId="0" applyFont="1" applyFill="1" applyBorder="1" applyAlignment="1">
      <alignment/>
    </xf>
    <xf numFmtId="188" fontId="1" fillId="0" borderId="47" xfId="0" applyNumberFormat="1" applyFont="1" applyBorder="1" applyAlignment="1">
      <alignment wrapText="1"/>
    </xf>
    <xf numFmtId="0" fontId="2" fillId="0" borderId="48" xfId="0" applyFont="1" applyBorder="1" applyAlignment="1">
      <alignment horizontal="left"/>
    </xf>
    <xf numFmtId="0" fontId="3" fillId="0" borderId="48" xfId="0" applyFont="1" applyBorder="1" applyAlignment="1">
      <alignment horizontal="center"/>
    </xf>
    <xf numFmtId="0" fontId="3" fillId="0" borderId="48" xfId="0" applyFont="1" applyFill="1" applyBorder="1" applyAlignment="1">
      <alignment horizontal="center"/>
    </xf>
    <xf numFmtId="0" fontId="3" fillId="0" borderId="61" xfId="0" applyFont="1" applyBorder="1" applyAlignment="1">
      <alignment horizontal="center"/>
    </xf>
    <xf numFmtId="0" fontId="0" fillId="0" borderId="23" xfId="0" applyFont="1" applyBorder="1" applyAlignment="1">
      <alignment/>
    </xf>
    <xf numFmtId="0" fontId="2" fillId="0" borderId="48" xfId="0" applyFont="1" applyBorder="1" applyAlignment="1">
      <alignment horizontal="left" vertical="center" wrapText="1"/>
    </xf>
    <xf numFmtId="0" fontId="0" fillId="0" borderId="21" xfId="0" applyFont="1" applyBorder="1" applyAlignment="1">
      <alignment horizontal="center"/>
    </xf>
    <xf numFmtId="0" fontId="0" fillId="0" borderId="21" xfId="0" applyFont="1" applyBorder="1" applyAlignment="1">
      <alignment horizontal="center"/>
    </xf>
    <xf numFmtId="0" fontId="0" fillId="0" borderId="80" xfId="0" applyFont="1" applyBorder="1" applyAlignment="1">
      <alignment horizontal="center"/>
    </xf>
    <xf numFmtId="188" fontId="1" fillId="0" borderId="62" xfId="0" applyNumberFormat="1" applyFont="1" applyBorder="1" applyAlignment="1">
      <alignment wrapText="1"/>
    </xf>
    <xf numFmtId="0" fontId="0" fillId="0" borderId="80" xfId="0" applyFont="1" applyBorder="1" applyAlignment="1">
      <alignment horizontal="center"/>
    </xf>
    <xf numFmtId="0" fontId="0" fillId="0" borderId="17" xfId="0" applyFont="1" applyBorder="1" applyAlignment="1">
      <alignment horizontal="center"/>
    </xf>
    <xf numFmtId="188" fontId="1" fillId="0" borderId="33" xfId="60" applyNumberFormat="1" applyFont="1" applyBorder="1" applyAlignment="1">
      <alignment/>
    </xf>
    <xf numFmtId="0" fontId="1" fillId="0" borderId="51" xfId="0" applyFont="1" applyBorder="1" applyAlignment="1">
      <alignment/>
    </xf>
    <xf numFmtId="0" fontId="3" fillId="0" borderId="44" xfId="0" applyFont="1" applyFill="1" applyBorder="1" applyAlignment="1">
      <alignment horizontal="center"/>
    </xf>
    <xf numFmtId="0" fontId="3" fillId="0" borderId="45" xfId="0" applyFont="1" applyFill="1" applyBorder="1" applyAlignment="1">
      <alignment horizontal="center"/>
    </xf>
    <xf numFmtId="0" fontId="0" fillId="0" borderId="22" xfId="0" applyFont="1" applyBorder="1" applyAlignment="1">
      <alignment horizontal="center"/>
    </xf>
    <xf numFmtId="188" fontId="3" fillId="0" borderId="39" xfId="0" applyNumberFormat="1" applyFont="1" applyBorder="1" applyAlignment="1">
      <alignment wrapText="1"/>
    </xf>
    <xf numFmtId="185" fontId="1" fillId="0" borderId="31" xfId="0" applyNumberFormat="1" applyFont="1" applyBorder="1" applyAlignment="1">
      <alignment horizontal="left"/>
    </xf>
    <xf numFmtId="185" fontId="2" fillId="0" borderId="31" xfId="0" applyNumberFormat="1" applyFont="1" applyBorder="1" applyAlignment="1">
      <alignment horizontal="left"/>
    </xf>
    <xf numFmtId="185" fontId="1" fillId="0" borderId="32" xfId="0" applyNumberFormat="1" applyFont="1" applyBorder="1" applyAlignment="1">
      <alignment horizontal="left"/>
    </xf>
    <xf numFmtId="185" fontId="2" fillId="0" borderId="73" xfId="0" applyNumberFormat="1" applyFont="1" applyBorder="1" applyAlignment="1">
      <alignment horizontal="left"/>
    </xf>
    <xf numFmtId="0" fontId="0" fillId="0" borderId="35" xfId="0" applyBorder="1" applyAlignment="1">
      <alignment/>
    </xf>
    <xf numFmtId="0" fontId="3" fillId="0" borderId="35" xfId="0" applyFont="1" applyBorder="1" applyAlignment="1">
      <alignment horizontal="left"/>
    </xf>
    <xf numFmtId="0" fontId="3" fillId="0" borderId="36" xfId="0" applyFont="1" applyBorder="1" applyAlignment="1">
      <alignment/>
    </xf>
    <xf numFmtId="0" fontId="3" fillId="0" borderId="36" xfId="0" applyFont="1" applyBorder="1" applyAlignment="1">
      <alignment horizontal="left"/>
    </xf>
    <xf numFmtId="0" fontId="0" fillId="0" borderId="36" xfId="0" applyBorder="1" applyAlignment="1">
      <alignment/>
    </xf>
    <xf numFmtId="0" fontId="0" fillId="0" borderId="42" xfId="0" applyBorder="1" applyAlignment="1">
      <alignment horizontal="left"/>
    </xf>
    <xf numFmtId="0" fontId="0" fillId="0" borderId="42" xfId="0" applyBorder="1" applyAlignment="1">
      <alignment horizontal="left" vertical="center" wrapText="1"/>
    </xf>
    <xf numFmtId="0" fontId="0" fillId="0" borderId="42" xfId="0" applyBorder="1" applyAlignment="1">
      <alignment horizontal="left" vertical="center"/>
    </xf>
    <xf numFmtId="0" fontId="0" fillId="0" borderId="42" xfId="0" applyFill="1" applyBorder="1" applyAlignment="1">
      <alignment horizontal="left" vertical="center" wrapText="1"/>
    </xf>
    <xf numFmtId="0" fontId="0" fillId="0" borderId="42" xfId="0" applyFont="1" applyBorder="1" applyAlignment="1">
      <alignment horizontal="left"/>
    </xf>
    <xf numFmtId="0" fontId="0" fillId="0" borderId="66" xfId="0" applyFont="1" applyBorder="1" applyAlignment="1">
      <alignment horizontal="left"/>
    </xf>
    <xf numFmtId="0" fontId="0" fillId="0" borderId="49" xfId="0" applyBorder="1" applyAlignment="1">
      <alignment horizontal="left"/>
    </xf>
    <xf numFmtId="0" fontId="3" fillId="0" borderId="48" xfId="0" applyFont="1" applyBorder="1" applyAlignment="1">
      <alignment horizontal="left"/>
    </xf>
    <xf numFmtId="185" fontId="1" fillId="0" borderId="19" xfId="0" applyNumberFormat="1" applyFont="1" applyBorder="1" applyAlignment="1">
      <alignment horizontal="left"/>
    </xf>
    <xf numFmtId="10" fontId="0" fillId="0" borderId="38" xfId="0" applyNumberFormat="1" applyBorder="1" applyAlignment="1">
      <alignment horizontal="center"/>
    </xf>
    <xf numFmtId="185" fontId="2" fillId="0" borderId="19" xfId="0" applyNumberFormat="1" applyFont="1" applyBorder="1" applyAlignment="1">
      <alignment horizontal="left"/>
    </xf>
    <xf numFmtId="185" fontId="1" fillId="0" borderId="22" xfId="0" applyNumberFormat="1" applyFont="1" applyBorder="1" applyAlignment="1">
      <alignment horizontal="left"/>
    </xf>
    <xf numFmtId="185" fontId="2" fillId="0" borderId="44" xfId="0" applyNumberFormat="1" applyFont="1" applyBorder="1" applyAlignment="1">
      <alignment horizontal="left"/>
    </xf>
    <xf numFmtId="185" fontId="1" fillId="0" borderId="26" xfId="0" applyNumberFormat="1" applyFont="1" applyBorder="1" applyAlignment="1">
      <alignment horizontal="left"/>
    </xf>
    <xf numFmtId="0" fontId="2" fillId="0" borderId="15" xfId="0" applyFont="1" applyBorder="1" applyAlignment="1">
      <alignment horizontal="center" vertical="center"/>
    </xf>
    <xf numFmtId="0" fontId="2" fillId="0" borderId="16" xfId="0" applyFont="1" applyBorder="1" applyAlignment="1">
      <alignment horizontal="center" vertical="center" wrapText="1"/>
    </xf>
    <xf numFmtId="0" fontId="3" fillId="0" borderId="42" xfId="0" applyFont="1" applyBorder="1" applyAlignment="1">
      <alignment horizontal="left" vertical="center" wrapText="1"/>
    </xf>
    <xf numFmtId="185" fontId="1" fillId="0" borderId="23" xfId="0" applyNumberFormat="1" applyFont="1" applyBorder="1" applyAlignment="1">
      <alignment horizontal="left"/>
    </xf>
    <xf numFmtId="188" fontId="0" fillId="0" borderId="18" xfId="0" applyNumberFormat="1" applyBorder="1" applyAlignment="1">
      <alignment/>
    </xf>
    <xf numFmtId="0" fontId="2" fillId="0" borderId="27" xfId="0" applyFont="1" applyBorder="1" applyAlignment="1">
      <alignment horizontal="center" vertical="center"/>
    </xf>
    <xf numFmtId="0" fontId="0" fillId="0" borderId="66" xfId="0" applyBorder="1" applyAlignment="1">
      <alignment horizontal="left"/>
    </xf>
    <xf numFmtId="0" fontId="0" fillId="0" borderId="48" xfId="0" applyBorder="1" applyAlignment="1">
      <alignment horizontal="left"/>
    </xf>
    <xf numFmtId="0" fontId="0" fillId="0" borderId="83" xfId="0" applyBorder="1" applyAlignment="1">
      <alignment horizontal="left"/>
    </xf>
    <xf numFmtId="185" fontId="2" fillId="0" borderId="23" xfId="0" applyNumberFormat="1" applyFont="1" applyBorder="1" applyAlignment="1">
      <alignment horizontal="left"/>
    </xf>
    <xf numFmtId="10" fontId="3" fillId="0" borderId="48" xfId="57" applyNumberFormat="1" applyFont="1" applyBorder="1">
      <alignment/>
      <protection/>
    </xf>
    <xf numFmtId="0" fontId="0" fillId="0" borderId="84" xfId="0" applyBorder="1" applyAlignment="1">
      <alignment horizontal="left"/>
    </xf>
    <xf numFmtId="0" fontId="0" fillId="0" borderId="74" xfId="0" applyBorder="1" applyAlignment="1">
      <alignment horizontal="left" vertical="center" wrapText="1"/>
    </xf>
    <xf numFmtId="0" fontId="0" fillId="0" borderId="77" xfId="0" applyBorder="1" applyAlignment="1">
      <alignment/>
    </xf>
    <xf numFmtId="0" fontId="0" fillId="0" borderId="37" xfId="0" applyBorder="1" applyAlignment="1">
      <alignment/>
    </xf>
    <xf numFmtId="0" fontId="0" fillId="0" borderId="48" xfId="0" applyFill="1" applyBorder="1" applyAlignment="1">
      <alignment horizontal="left" vertical="center" wrapText="1"/>
    </xf>
    <xf numFmtId="0" fontId="0" fillId="0" borderId="76" xfId="0" applyBorder="1" applyAlignment="1">
      <alignment horizontal="left"/>
    </xf>
    <xf numFmtId="0" fontId="0" fillId="0" borderId="76" xfId="0" applyBorder="1" applyAlignment="1">
      <alignment horizontal="left" vertical="center" wrapText="1"/>
    </xf>
    <xf numFmtId="10" fontId="0" fillId="0" borderId="50" xfId="57" applyNumberFormat="1" applyBorder="1">
      <alignment/>
      <protection/>
    </xf>
    <xf numFmtId="0" fontId="0" fillId="0" borderId="74" xfId="0" applyBorder="1" applyAlignment="1">
      <alignment horizontal="left"/>
    </xf>
    <xf numFmtId="0" fontId="0" fillId="0" borderId="66" xfId="0" applyFill="1" applyBorder="1" applyAlignment="1">
      <alignment horizontal="left" vertical="center" wrapText="1"/>
    </xf>
    <xf numFmtId="0" fontId="0" fillId="0" borderId="74" xfId="0" applyFill="1" applyBorder="1" applyAlignment="1">
      <alignment horizontal="left" vertical="center" wrapText="1"/>
    </xf>
    <xf numFmtId="10" fontId="0" fillId="0" borderId="18" xfId="57" applyNumberFormat="1" applyBorder="1">
      <alignment/>
      <protection/>
    </xf>
    <xf numFmtId="0" fontId="0" fillId="0" borderId="43" xfId="0" applyBorder="1" applyAlignment="1">
      <alignment/>
    </xf>
    <xf numFmtId="10" fontId="0" fillId="0" borderId="57" xfId="57" applyNumberFormat="1" applyBorder="1">
      <alignment/>
      <protection/>
    </xf>
    <xf numFmtId="10" fontId="0" fillId="0" borderId="62" xfId="57" applyNumberFormat="1" applyBorder="1">
      <alignment/>
      <protection/>
    </xf>
    <xf numFmtId="185" fontId="1" fillId="0" borderId="67" xfId="0" applyNumberFormat="1" applyFont="1" applyBorder="1" applyAlignment="1">
      <alignment horizontal="left"/>
    </xf>
    <xf numFmtId="185" fontId="2" fillId="0" borderId="59" xfId="0" applyNumberFormat="1" applyFont="1" applyBorder="1" applyAlignment="1">
      <alignment horizontal="left"/>
    </xf>
    <xf numFmtId="0" fontId="0" fillId="0" borderId="49" xfId="0" applyFont="1" applyBorder="1" applyAlignment="1">
      <alignment horizontal="left"/>
    </xf>
    <xf numFmtId="0" fontId="2" fillId="0" borderId="67" xfId="0" applyFont="1" applyBorder="1" applyAlignment="1">
      <alignment horizontal="center" vertical="center"/>
    </xf>
    <xf numFmtId="185" fontId="1" fillId="0" borderId="85" xfId="0" applyNumberFormat="1" applyFont="1" applyBorder="1" applyAlignment="1">
      <alignment/>
    </xf>
    <xf numFmtId="0" fontId="0" fillId="0" borderId="48" xfId="0" applyBorder="1" applyAlignment="1">
      <alignment/>
    </xf>
    <xf numFmtId="0" fontId="3" fillId="0" borderId="48" xfId="0" applyFont="1" applyBorder="1" applyAlignment="1">
      <alignment/>
    </xf>
    <xf numFmtId="0" fontId="5" fillId="0" borderId="40" xfId="0" applyFont="1" applyBorder="1" applyAlignment="1">
      <alignment horizontal="center"/>
    </xf>
    <xf numFmtId="0" fontId="5" fillId="0" borderId="33" xfId="0" applyFont="1" applyBorder="1" applyAlignment="1">
      <alignment/>
    </xf>
    <xf numFmtId="0" fontId="5" fillId="0" borderId="51"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65" xfId="0" applyFont="1" applyBorder="1" applyAlignment="1">
      <alignment horizontal="center"/>
    </xf>
    <xf numFmtId="0" fontId="1" fillId="0" borderId="68" xfId="0" applyFont="1" applyBorder="1" applyAlignment="1">
      <alignment/>
    </xf>
    <xf numFmtId="0" fontId="1" fillId="0" borderId="54" xfId="0" applyFont="1" applyBorder="1" applyAlignment="1">
      <alignment/>
    </xf>
    <xf numFmtId="1" fontId="2" fillId="0" borderId="82" xfId="0" applyNumberFormat="1" applyFont="1" applyBorder="1" applyAlignment="1">
      <alignment/>
    </xf>
    <xf numFmtId="0" fontId="2" fillId="0" borderId="11" xfId="0" applyFont="1" applyBorder="1" applyAlignment="1">
      <alignment/>
    </xf>
    <xf numFmtId="188" fontId="1" fillId="0" borderId="74" xfId="0" applyNumberFormat="1" applyFont="1" applyBorder="1" applyAlignment="1">
      <alignment/>
    </xf>
    <xf numFmtId="188" fontId="1" fillId="0" borderId="35" xfId="0" applyNumberFormat="1" applyFont="1" applyBorder="1" applyAlignment="1">
      <alignment/>
    </xf>
    <xf numFmtId="188" fontId="2" fillId="0" borderId="37" xfId="0" applyNumberFormat="1" applyFont="1" applyBorder="1" applyAlignment="1">
      <alignment/>
    </xf>
    <xf numFmtId="188" fontId="2" fillId="0" borderId="74" xfId="0" applyNumberFormat="1" applyFont="1" applyBorder="1" applyAlignment="1">
      <alignment/>
    </xf>
    <xf numFmtId="188" fontId="2" fillId="0" borderId="35" xfId="0" applyNumberFormat="1" applyFont="1" applyBorder="1" applyAlignment="1">
      <alignment/>
    </xf>
    <xf numFmtId="0" fontId="2" fillId="0" borderId="44" xfId="0" applyFont="1" applyBorder="1" applyAlignment="1">
      <alignment horizontal="left" vertical="center" wrapText="1"/>
    </xf>
    <xf numFmtId="0" fontId="3" fillId="0" borderId="63" xfId="0" applyFont="1" applyFill="1" applyBorder="1" applyAlignment="1">
      <alignment horizontal="center"/>
    </xf>
    <xf numFmtId="0" fontId="2" fillId="0" borderId="39" xfId="0" applyFont="1" applyBorder="1" applyAlignment="1">
      <alignment horizontal="center" vertical="top" wrapText="1"/>
    </xf>
    <xf numFmtId="0" fontId="0" fillId="0" borderId="32" xfId="0" applyFont="1" applyBorder="1" applyAlignment="1">
      <alignment/>
    </xf>
    <xf numFmtId="0" fontId="0" fillId="0" borderId="21" xfId="0" applyFont="1" applyBorder="1" applyAlignment="1">
      <alignment/>
    </xf>
    <xf numFmtId="1" fontId="3" fillId="0" borderId="45" xfId="0" applyNumberFormat="1" applyFont="1" applyBorder="1" applyAlignment="1">
      <alignment horizontal="right"/>
    </xf>
    <xf numFmtId="1" fontId="3" fillId="0" borderId="45" xfId="0" applyNumberFormat="1" applyFont="1" applyBorder="1" applyAlignment="1">
      <alignment wrapText="1"/>
    </xf>
    <xf numFmtId="188" fontId="2" fillId="0" borderId="39" xfId="0" applyNumberFormat="1" applyFont="1" applyBorder="1" applyAlignment="1">
      <alignment wrapText="1"/>
    </xf>
    <xf numFmtId="1" fontId="3" fillId="0" borderId="45" xfId="0" applyNumberFormat="1" applyFont="1" applyBorder="1" applyAlignment="1">
      <alignment horizontal="center"/>
    </xf>
    <xf numFmtId="1" fontId="2" fillId="0" borderId="45" xfId="0" applyNumberFormat="1" applyFont="1" applyBorder="1" applyAlignment="1">
      <alignment wrapText="1"/>
    </xf>
    <xf numFmtId="1" fontId="3" fillId="0" borderId="63" xfId="0" applyNumberFormat="1" applyFont="1" applyBorder="1" applyAlignment="1">
      <alignment horizontal="center"/>
    </xf>
    <xf numFmtId="0" fontId="0" fillId="0" borderId="32" xfId="0" applyFont="1" applyBorder="1" applyAlignment="1">
      <alignment horizontal="center"/>
    </xf>
    <xf numFmtId="1" fontId="3" fillId="0" borderId="73" xfId="0" applyNumberFormat="1" applyFont="1" applyBorder="1" applyAlignment="1">
      <alignment horizontal="center"/>
    </xf>
    <xf numFmtId="188" fontId="2" fillId="0" borderId="61" xfId="60" applyNumberFormat="1" applyFont="1" applyBorder="1" applyAlignment="1">
      <alignment horizontal="center"/>
    </xf>
    <xf numFmtId="185" fontId="2" fillId="0" borderId="73" xfId="0" applyNumberFormat="1" applyFont="1" applyBorder="1" applyAlignment="1">
      <alignment horizontal="center"/>
    </xf>
    <xf numFmtId="185" fontId="2" fillId="0" borderId="10" xfId="0" applyNumberFormat="1" applyFont="1" applyBorder="1" applyAlignment="1">
      <alignment horizontal="center"/>
    </xf>
    <xf numFmtId="185" fontId="2" fillId="0" borderId="45" xfId="0" applyNumberFormat="1" applyFont="1" applyBorder="1" applyAlignment="1">
      <alignment horizontal="center"/>
    </xf>
    <xf numFmtId="0" fontId="2" fillId="0" borderId="44" xfId="0" applyFont="1" applyBorder="1" applyAlignment="1">
      <alignment horizontal="left" wrapText="1"/>
    </xf>
    <xf numFmtId="0" fontId="2" fillId="0" borderId="45" xfId="0" applyFont="1" applyBorder="1" applyAlignment="1">
      <alignment/>
    </xf>
    <xf numFmtId="41" fontId="2" fillId="0" borderId="45" xfId="0" applyNumberFormat="1" applyFont="1" applyBorder="1" applyAlignment="1">
      <alignment/>
    </xf>
    <xf numFmtId="0" fontId="2" fillId="0" borderId="39" xfId="0" applyFont="1" applyBorder="1" applyAlignment="1">
      <alignment/>
    </xf>
    <xf numFmtId="10" fontId="2" fillId="0" borderId="65" xfId="0" applyNumberFormat="1" applyFont="1" applyFill="1" applyBorder="1" applyAlignment="1">
      <alignment horizontal="center"/>
    </xf>
    <xf numFmtId="10" fontId="0" fillId="0" borderId="43" xfId="0" applyNumberFormat="1" applyBorder="1" applyAlignment="1">
      <alignment horizontal="center"/>
    </xf>
    <xf numFmtId="10" fontId="0" fillId="0" borderId="50" xfId="0" applyNumberFormat="1" applyBorder="1" applyAlignment="1">
      <alignment horizontal="center"/>
    </xf>
    <xf numFmtId="0" fontId="2" fillId="0" borderId="67" xfId="0" applyFont="1" applyBorder="1" applyAlignment="1">
      <alignment horizontal="center" vertical="center" wrapText="1"/>
    </xf>
    <xf numFmtId="0" fontId="0" fillId="0" borderId="42" xfId="0" applyFont="1" applyBorder="1" applyAlignment="1">
      <alignment horizontal="left" vertical="center" wrapText="1"/>
    </xf>
    <xf numFmtId="185" fontId="1" fillId="0" borderId="68" xfId="0" applyNumberFormat="1" applyFont="1" applyBorder="1" applyAlignment="1">
      <alignment/>
    </xf>
    <xf numFmtId="10" fontId="3" fillId="0" borderId="65" xfId="57" applyNumberFormat="1" applyFont="1" applyBorder="1">
      <alignment/>
      <protection/>
    </xf>
    <xf numFmtId="185" fontId="1" fillId="0" borderId="24" xfId="0" applyNumberFormat="1" applyFont="1" applyBorder="1" applyAlignment="1">
      <alignment horizontal="left"/>
    </xf>
    <xf numFmtId="0" fontId="5" fillId="0" borderId="10" xfId="0" applyFont="1" applyBorder="1" applyAlignment="1">
      <alignment/>
    </xf>
    <xf numFmtId="0" fontId="5" fillId="0" borderId="75" xfId="0" applyFont="1" applyBorder="1" applyAlignment="1">
      <alignment/>
    </xf>
    <xf numFmtId="0" fontId="1" fillId="0" borderId="69" xfId="0" applyFont="1" applyBorder="1" applyAlignment="1">
      <alignment/>
    </xf>
    <xf numFmtId="0" fontId="2" fillId="0" borderId="70" xfId="0" applyFont="1" applyBorder="1" applyAlignment="1">
      <alignment horizontal="left"/>
    </xf>
    <xf numFmtId="0" fontId="2" fillId="0" borderId="77" xfId="0" applyFont="1" applyBorder="1" applyAlignment="1">
      <alignment horizontal="center"/>
    </xf>
    <xf numFmtId="0" fontId="1" fillId="0" borderId="84" xfId="0" applyFont="1" applyBorder="1" applyAlignment="1">
      <alignment/>
    </xf>
    <xf numFmtId="0" fontId="1" fillId="0" borderId="71" xfId="0" applyFont="1" applyBorder="1" applyAlignment="1">
      <alignment/>
    </xf>
    <xf numFmtId="0" fontId="1" fillId="0" borderId="83" xfId="0" applyFont="1" applyBorder="1" applyAlignment="1">
      <alignment/>
    </xf>
    <xf numFmtId="0" fontId="1" fillId="0" borderId="86" xfId="0" applyFont="1" applyBorder="1" applyAlignment="1">
      <alignment/>
    </xf>
    <xf numFmtId="0" fontId="1" fillId="0" borderId="15" xfId="0" applyFont="1" applyBorder="1" applyAlignment="1">
      <alignment horizontal="center"/>
    </xf>
    <xf numFmtId="0" fontId="1" fillId="0" borderId="40" xfId="0" applyFont="1" applyBorder="1" applyAlignment="1">
      <alignment/>
    </xf>
    <xf numFmtId="0" fontId="3" fillId="0" borderId="52" xfId="0" applyFont="1" applyFill="1" applyBorder="1" applyAlignment="1">
      <alignment horizontal="center"/>
    </xf>
    <xf numFmtId="1" fontId="3" fillId="0" borderId="63" xfId="0" applyNumberFormat="1" applyFont="1" applyBorder="1" applyAlignment="1">
      <alignment horizontal="right"/>
    </xf>
    <xf numFmtId="1" fontId="3" fillId="0" borderId="44" xfId="0" applyNumberFormat="1" applyFont="1" applyBorder="1" applyAlignment="1">
      <alignment horizontal="center"/>
    </xf>
    <xf numFmtId="188" fontId="3" fillId="0" borderId="39" xfId="0" applyNumberFormat="1" applyFont="1" applyBorder="1" applyAlignment="1">
      <alignment wrapText="1"/>
    </xf>
    <xf numFmtId="41" fontId="2" fillId="0" borderId="45" xfId="0" applyNumberFormat="1" applyFont="1" applyFill="1" applyBorder="1" applyAlignment="1">
      <alignment/>
    </xf>
    <xf numFmtId="0" fontId="5" fillId="0" borderId="53" xfId="0" applyFont="1" applyBorder="1" applyAlignment="1">
      <alignment horizontal="center"/>
    </xf>
    <xf numFmtId="0" fontId="5" fillId="0" borderId="61" xfId="0" applyFont="1" applyBorder="1" applyAlignment="1">
      <alignment horizontal="center"/>
    </xf>
    <xf numFmtId="0" fontId="10" fillId="0" borderId="0" xfId="0" applyFont="1" applyAlignment="1">
      <alignment horizontal="right"/>
    </xf>
    <xf numFmtId="0" fontId="2" fillId="0" borderId="35" xfId="0" applyFont="1" applyBorder="1" applyAlignment="1">
      <alignment horizontal="left" vertical="center" wrapText="1"/>
    </xf>
    <xf numFmtId="0" fontId="2" fillId="0" borderId="37" xfId="0" applyFont="1" applyBorder="1" applyAlignment="1">
      <alignment horizontal="left" vertical="center" wrapText="1"/>
    </xf>
    <xf numFmtId="1" fontId="2" fillId="0" borderId="14" xfId="0" applyNumberFormat="1" applyFont="1" applyBorder="1" applyAlignment="1">
      <alignment horizontal="center"/>
    </xf>
    <xf numFmtId="1" fontId="2" fillId="0" borderId="15" xfId="0" applyNumberFormat="1" applyFont="1" applyBorder="1" applyAlignment="1">
      <alignment horizontal="center"/>
    </xf>
    <xf numFmtId="1" fontId="2" fillId="0" borderId="10" xfId="0" applyNumberFormat="1" applyFont="1" applyBorder="1" applyAlignment="1">
      <alignment horizontal="center"/>
    </xf>
    <xf numFmtId="1" fontId="2" fillId="0" borderId="16" xfId="0" applyNumberFormat="1" applyFont="1" applyBorder="1" applyAlignment="1">
      <alignment horizontal="center"/>
    </xf>
    <xf numFmtId="188" fontId="2" fillId="0" borderId="75" xfId="60" applyNumberFormat="1" applyFont="1" applyBorder="1" applyAlignment="1">
      <alignment horizontal="center"/>
    </xf>
    <xf numFmtId="188" fontId="2" fillId="0" borderId="65" xfId="60" applyNumberFormat="1" applyFont="1" applyBorder="1" applyAlignment="1">
      <alignment horizontal="center"/>
    </xf>
    <xf numFmtId="188" fontId="2" fillId="0" borderId="75" xfId="0" applyNumberFormat="1" applyFont="1" applyBorder="1" applyAlignment="1">
      <alignment horizontal="center"/>
    </xf>
    <xf numFmtId="188" fontId="2" fillId="0" borderId="65" xfId="0" applyNumberFormat="1" applyFont="1" applyBorder="1" applyAlignment="1">
      <alignment horizontal="center"/>
    </xf>
    <xf numFmtId="0" fontId="0" fillId="0" borderId="0" xfId="0" applyFont="1" applyAlignment="1">
      <alignment horizontal="center"/>
    </xf>
    <xf numFmtId="0" fontId="2" fillId="0" borderId="87" xfId="0" applyFont="1" applyBorder="1" applyAlignment="1">
      <alignment horizontal="center"/>
    </xf>
    <xf numFmtId="0" fontId="2" fillId="0" borderId="56" xfId="0" applyFont="1" applyBorder="1" applyAlignment="1">
      <alignment horizontal="center"/>
    </xf>
    <xf numFmtId="0" fontId="2" fillId="0" borderId="86" xfId="0" applyFont="1" applyBorder="1" applyAlignment="1">
      <alignment horizontal="center"/>
    </xf>
    <xf numFmtId="0" fontId="3" fillId="0" borderId="0" xfId="0" applyFont="1" applyAlignment="1">
      <alignment horizontal="center"/>
    </xf>
    <xf numFmtId="0" fontId="2" fillId="0" borderId="69" xfId="0" applyFont="1" applyBorder="1" applyAlignment="1">
      <alignment vertical="center" wrapText="1"/>
    </xf>
    <xf numFmtId="0" fontId="1" fillId="0" borderId="77" xfId="0" applyFont="1" applyBorder="1" applyAlignment="1">
      <alignment vertical="center" wrapText="1"/>
    </xf>
    <xf numFmtId="0" fontId="2" fillId="0" borderId="52" xfId="0" applyFont="1" applyBorder="1" applyAlignment="1">
      <alignment vertical="center" wrapText="1"/>
    </xf>
    <xf numFmtId="0" fontId="1" fillId="0" borderId="52" xfId="0" applyFont="1" applyBorder="1" applyAlignment="1">
      <alignment vertical="center" wrapText="1"/>
    </xf>
    <xf numFmtId="0" fontId="2" fillId="0" borderId="52" xfId="0" applyFont="1" applyBorder="1" applyAlignment="1">
      <alignment horizontal="left" vertical="center" wrapText="1"/>
    </xf>
    <xf numFmtId="0" fontId="2" fillId="0" borderId="0" xfId="0" applyFont="1" applyAlignment="1">
      <alignment horizontal="center"/>
    </xf>
    <xf numFmtId="1" fontId="2" fillId="0" borderId="44" xfId="0" applyNumberFormat="1" applyFont="1" applyBorder="1" applyAlignment="1">
      <alignment horizontal="center" vertical="center"/>
    </xf>
    <xf numFmtId="188" fontId="2" fillId="0" borderId="45" xfId="60" applyNumberFormat="1" applyFont="1" applyBorder="1" applyAlignment="1">
      <alignment horizontal="center" vertical="center"/>
    </xf>
    <xf numFmtId="1" fontId="2" fillId="0" borderId="45" xfId="0" applyNumberFormat="1" applyFont="1" applyBorder="1" applyAlignment="1">
      <alignment horizontal="center" vertical="center"/>
    </xf>
    <xf numFmtId="1" fontId="2" fillId="0" borderId="39" xfId="0" applyNumberFormat="1" applyFont="1" applyBorder="1" applyAlignment="1">
      <alignment horizontal="center" vertical="center"/>
    </xf>
    <xf numFmtId="1" fontId="2" fillId="0" borderId="73" xfId="0" applyNumberFormat="1" applyFont="1" applyBorder="1" applyAlignment="1">
      <alignment horizontal="center" vertical="center"/>
    </xf>
    <xf numFmtId="188" fontId="2" fillId="0" borderId="10" xfId="60" applyNumberFormat="1" applyFont="1" applyBorder="1" applyAlignment="1">
      <alignment horizontal="center"/>
    </xf>
    <xf numFmtId="188" fontId="2" fillId="0" borderId="16" xfId="60" applyNumberFormat="1" applyFont="1" applyBorder="1" applyAlignment="1">
      <alignment horizontal="center"/>
    </xf>
    <xf numFmtId="1" fontId="2" fillId="0" borderId="75" xfId="0" applyNumberFormat="1" applyFont="1" applyBorder="1" applyAlignment="1">
      <alignment horizontal="center"/>
    </xf>
    <xf numFmtId="1" fontId="2" fillId="0" borderId="65" xfId="0" applyNumberFormat="1" applyFont="1" applyBorder="1" applyAlignment="1">
      <alignment horizontal="center"/>
    </xf>
    <xf numFmtId="1" fontId="2" fillId="0" borderId="29" xfId="0" applyNumberFormat="1" applyFont="1" applyBorder="1" applyAlignment="1">
      <alignment horizontal="center"/>
    </xf>
    <xf numFmtId="1" fontId="2" fillId="0" borderId="59" xfId="0" applyNumberFormat="1" applyFont="1" applyBorder="1" applyAlignment="1">
      <alignment horizontal="center"/>
    </xf>
    <xf numFmtId="0" fontId="2" fillId="0" borderId="0" xfId="0" applyFont="1" applyAlignment="1">
      <alignment horizontal="center"/>
    </xf>
    <xf numFmtId="0" fontId="9" fillId="0" borderId="0" xfId="0" applyFont="1" applyAlignment="1">
      <alignment horizontal="center"/>
    </xf>
    <xf numFmtId="0" fontId="0" fillId="0" borderId="0" xfId="0" applyFont="1" applyAlignment="1">
      <alignment horizontal="center" wrapText="1"/>
    </xf>
    <xf numFmtId="0" fontId="3" fillId="0" borderId="13" xfId="0" applyFont="1" applyBorder="1" applyAlignment="1">
      <alignment horizontal="center"/>
    </xf>
    <xf numFmtId="0" fontId="5" fillId="0" borderId="75" xfId="0" applyFont="1" applyBorder="1" applyAlignment="1">
      <alignment horizontal="center" vertical="top" wrapText="1"/>
    </xf>
    <xf numFmtId="0" fontId="5" fillId="0" borderId="65" xfId="0" applyFont="1" applyBorder="1" applyAlignment="1">
      <alignment horizontal="center" vertical="top" wrapText="1"/>
    </xf>
    <xf numFmtId="0" fontId="9" fillId="0" borderId="87" xfId="0" applyFont="1" applyBorder="1" applyAlignment="1">
      <alignment horizontal="center"/>
    </xf>
    <xf numFmtId="0" fontId="9" fillId="0" borderId="30" xfId="0" applyFont="1" applyBorder="1" applyAlignment="1">
      <alignment horizontal="center"/>
    </xf>
    <xf numFmtId="0" fontId="9" fillId="0" borderId="85" xfId="0" applyFont="1" applyBorder="1" applyAlignment="1">
      <alignment horizontal="center"/>
    </xf>
    <xf numFmtId="0" fontId="9" fillId="0" borderId="86" xfId="0" applyFont="1" applyBorder="1" applyAlignment="1">
      <alignment horizontal="center"/>
    </xf>
    <xf numFmtId="0" fontId="5" fillId="0" borderId="75" xfId="0" applyFont="1" applyBorder="1" applyAlignment="1">
      <alignment horizontal="center" vertical="center" wrapText="1"/>
    </xf>
    <xf numFmtId="0" fontId="5" fillId="0" borderId="65"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Fill="1" applyBorder="1" applyAlignment="1">
      <alignment horizontal="left" wrapText="1"/>
    </xf>
    <xf numFmtId="0" fontId="4" fillId="0" borderId="12" xfId="0" applyFont="1" applyBorder="1" applyAlignment="1">
      <alignment horizontal="center" vertical="top" wrapText="1"/>
    </xf>
    <xf numFmtId="0" fontId="4" fillId="0" borderId="41" xfId="0" applyFont="1" applyBorder="1" applyAlignment="1">
      <alignment horizontal="center" vertical="top" wrapText="1"/>
    </xf>
    <xf numFmtId="0" fontId="4" fillId="0" borderId="34" xfId="0" applyFont="1" applyBorder="1" applyAlignment="1">
      <alignment horizontal="center" vertical="top" wrapText="1"/>
    </xf>
    <xf numFmtId="0" fontId="4" fillId="0" borderId="10" xfId="0" applyFont="1" applyBorder="1" applyAlignment="1">
      <alignment horizontal="center" wrapText="1"/>
    </xf>
    <xf numFmtId="0" fontId="4" fillId="0" borderId="33" xfId="0" applyFont="1" applyBorder="1" applyAlignment="1">
      <alignment horizontal="center" wrapText="1"/>
    </xf>
    <xf numFmtId="0" fontId="2" fillId="0" borderId="52" xfId="0" applyFont="1" applyBorder="1" applyAlignment="1">
      <alignment horizontal="center"/>
    </xf>
    <xf numFmtId="0" fontId="2" fillId="0" borderId="61" xfId="0" applyFont="1" applyBorder="1" applyAlignment="1">
      <alignment horizontal="center"/>
    </xf>
    <xf numFmtId="0" fontId="2" fillId="0" borderId="73" xfId="0" applyFont="1" applyBorder="1" applyAlignment="1">
      <alignment horizontal="center"/>
    </xf>
    <xf numFmtId="0" fontId="4" fillId="0" borderId="75" xfId="0" applyFont="1" applyBorder="1" applyAlignment="1">
      <alignment horizontal="center" wrapText="1"/>
    </xf>
    <xf numFmtId="0" fontId="4" fillId="0" borderId="51" xfId="0" applyFont="1" applyBorder="1" applyAlignment="1">
      <alignment horizontal="center" wrapText="1"/>
    </xf>
    <xf numFmtId="0" fontId="1" fillId="0" borderId="0" xfId="0" applyFont="1" applyFill="1" applyBorder="1" applyAlignment="1">
      <alignment horizontal="left" vertical="center" wrapText="1"/>
    </xf>
    <xf numFmtId="0" fontId="3" fillId="0" borderId="0" xfId="0" applyFont="1" applyAlignment="1">
      <alignment horizontal="center" vertical="center" wrapText="1"/>
    </xf>
    <xf numFmtId="0" fontId="2" fillId="0" borderId="53" xfId="0" applyFont="1" applyBorder="1" applyAlignment="1">
      <alignment horizontal="center"/>
    </xf>
    <xf numFmtId="0" fontId="0" fillId="0" borderId="0" xfId="0" applyBorder="1" applyAlignment="1">
      <alignment horizontal="center"/>
    </xf>
    <xf numFmtId="0" fontId="2" fillId="0" borderId="64" xfId="0" applyFont="1" applyBorder="1" applyAlignment="1">
      <alignment horizontal="center" vertical="center" wrapText="1"/>
    </xf>
    <xf numFmtId="0" fontId="2" fillId="0" borderId="65" xfId="0" applyFont="1" applyBorder="1" applyAlignment="1">
      <alignment horizontal="center" vertical="center" wrapText="1"/>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56" xfId="0" applyFont="1" applyBorder="1" applyAlignment="1">
      <alignment horizontal="center" vertical="center"/>
    </xf>
    <xf numFmtId="15" fontId="1" fillId="0" borderId="0" xfId="0" applyNumberFormat="1" applyFont="1" applyAlignment="1">
      <alignment horizontal="left"/>
    </xf>
    <xf numFmtId="0" fontId="8" fillId="0" borderId="0" xfId="0" applyFont="1" applyAlignment="1">
      <alignment horizontal="center" wrapText="1"/>
    </xf>
    <xf numFmtId="0" fontId="3" fillId="0" borderId="7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31"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82" xfId="0" applyFont="1" applyBorder="1" applyAlignment="1">
      <alignment horizontal="center" vertical="center" wrapText="1"/>
    </xf>
    <xf numFmtId="0" fontId="13" fillId="0" borderId="0" xfId="0" applyFont="1" applyAlignment="1">
      <alignment horizontal="center"/>
    </xf>
    <xf numFmtId="0" fontId="3" fillId="0" borderId="43"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8" xfId="0" applyFont="1" applyBorder="1" applyAlignment="1">
      <alignment horizontal="center" vertical="center" wrapText="1"/>
    </xf>
    <xf numFmtId="0" fontId="3" fillId="0" borderId="30" xfId="0" applyFont="1" applyBorder="1" applyAlignment="1">
      <alignment horizontal="center" vertical="center"/>
    </xf>
    <xf numFmtId="0" fontId="2" fillId="0" borderId="38" xfId="0" applyFont="1" applyBorder="1" applyAlignment="1">
      <alignment horizontal="center" vertical="center" wrapText="1"/>
    </xf>
    <xf numFmtId="0" fontId="2" fillId="0" borderId="50" xfId="0" applyFont="1" applyBorder="1" applyAlignment="1">
      <alignment horizontal="center" vertical="center" wrapText="1"/>
    </xf>
    <xf numFmtId="0" fontId="3" fillId="0" borderId="43" xfId="0" applyFont="1" applyBorder="1" applyAlignment="1">
      <alignment horizontal="center" vertical="center"/>
    </xf>
    <xf numFmtId="0" fontId="14" fillId="0" borderId="0" xfId="0" applyFont="1" applyAlignment="1">
      <alignment horizontal="center" wrapText="1"/>
    </xf>
    <xf numFmtId="0" fontId="2" fillId="0" borderId="38" xfId="0" applyFont="1" applyBorder="1" applyAlignment="1">
      <alignment horizontal="left" vertical="center" wrapText="1"/>
    </xf>
    <xf numFmtId="0" fontId="2" fillId="0" borderId="50" xfId="0" applyFont="1" applyBorder="1" applyAlignment="1">
      <alignment horizontal="left" vertical="center" wrapText="1"/>
    </xf>
    <xf numFmtId="15" fontId="0" fillId="0" borderId="0" xfId="0" applyNumberFormat="1" applyFont="1" applyAlignment="1">
      <alignment horizontal="left"/>
    </xf>
    <xf numFmtId="0" fontId="9" fillId="0" borderId="0" xfId="0" applyFont="1" applyAlignment="1">
      <alignment horizontal="center" wrapText="1"/>
    </xf>
    <xf numFmtId="192" fontId="0" fillId="0" borderId="0" xfId="0" applyNumberFormat="1" applyFont="1" applyAlignment="1">
      <alignment horizontal="left"/>
    </xf>
    <xf numFmtId="0" fontId="2" fillId="0" borderId="43" xfId="0" applyFont="1" applyBorder="1" applyAlignment="1">
      <alignment horizontal="left" vertical="center" wrapText="1"/>
    </xf>
    <xf numFmtId="0" fontId="3" fillId="0" borderId="78" xfId="0" applyFont="1" applyBorder="1" applyAlignment="1">
      <alignment horizontal="center" vertical="center" wrapText="1"/>
    </xf>
    <xf numFmtId="0" fontId="2" fillId="0" borderId="72" xfId="0" applyFont="1" applyBorder="1" applyAlignment="1">
      <alignment horizontal="center" vertical="center" wrapText="1"/>
    </xf>
    <xf numFmtId="0" fontId="3" fillId="0" borderId="12"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39"/>
  <sheetViews>
    <sheetView zoomScalePageLayoutView="0" workbookViewId="0" topLeftCell="A1">
      <selection activeCell="P21" sqref="P21"/>
    </sheetView>
  </sheetViews>
  <sheetFormatPr defaultColWidth="9.140625" defaultRowHeight="12.75"/>
  <cols>
    <col min="1" max="1" width="17.421875" style="0" customWidth="1"/>
    <col min="2" max="2" width="8.00390625" style="0" customWidth="1"/>
    <col min="3" max="3" width="7.7109375" style="0" customWidth="1"/>
    <col min="4" max="4" width="8.421875" style="0" customWidth="1"/>
    <col min="5" max="5" width="7.28125" style="0" customWidth="1"/>
    <col min="6" max="6" width="6.28125" style="0" customWidth="1"/>
    <col min="7" max="7" width="7.00390625" style="0" customWidth="1"/>
    <col min="8" max="8" width="7.57421875" style="0" customWidth="1"/>
    <col min="9" max="9" width="8.140625" style="0" customWidth="1"/>
    <col min="10" max="10" width="7.8515625" style="0" customWidth="1"/>
    <col min="11" max="11" width="8.57421875" style="0" customWidth="1"/>
    <col min="12" max="12" width="7.421875" style="0" customWidth="1"/>
    <col min="13" max="13" width="6.57421875" style="0" customWidth="1"/>
    <col min="14" max="14" width="7.00390625" style="0" customWidth="1"/>
    <col min="15" max="15" width="7.7109375" style="0" customWidth="1"/>
    <col min="16" max="17" width="7.00390625" style="0" customWidth="1"/>
    <col min="18" max="18" width="10.00390625" style="0" customWidth="1"/>
  </cols>
  <sheetData>
    <row r="1" spans="1:18" ht="12.75">
      <c r="A1" s="288" t="s">
        <v>113</v>
      </c>
      <c r="P1" s="512"/>
      <c r="Q1" s="512"/>
      <c r="R1" s="512"/>
    </row>
    <row r="2" spans="1:18" ht="12.75">
      <c r="A2" s="46"/>
      <c r="B2" s="57"/>
      <c r="C2" s="57"/>
      <c r="D2" s="131" t="s">
        <v>112</v>
      </c>
      <c r="E2" s="131"/>
      <c r="F2" s="131"/>
      <c r="G2" s="131"/>
      <c r="H2" s="131"/>
      <c r="I2" s="131"/>
      <c r="J2" s="131"/>
      <c r="K2" s="131"/>
      <c r="L2" s="131"/>
      <c r="M2" s="131"/>
      <c r="N2" s="57"/>
      <c r="O2" s="57"/>
      <c r="P2" s="57"/>
      <c r="Q2" s="57"/>
      <c r="R2" s="57"/>
    </row>
    <row r="3" spans="1:18" ht="12.75">
      <c r="A3" s="57"/>
      <c r="B3" s="57"/>
      <c r="C3" s="57"/>
      <c r="D3" s="131" t="s">
        <v>99</v>
      </c>
      <c r="E3" s="131"/>
      <c r="F3" s="131"/>
      <c r="G3" s="131"/>
      <c r="H3" s="131"/>
      <c r="I3" s="131"/>
      <c r="J3" s="131"/>
      <c r="K3" s="131"/>
      <c r="L3" s="131"/>
      <c r="M3" s="131"/>
      <c r="N3" s="57"/>
      <c r="O3" s="57"/>
      <c r="P3" s="57"/>
      <c r="Q3" s="57"/>
      <c r="R3" s="57"/>
    </row>
    <row r="4" spans="1:18" ht="13.5" thickBot="1">
      <c r="A4" s="1"/>
      <c r="B4" s="1"/>
      <c r="C4" s="2"/>
      <c r="D4" s="1"/>
      <c r="E4" s="1"/>
      <c r="F4" s="1"/>
      <c r="G4" s="1"/>
      <c r="H4" s="1"/>
      <c r="I4" s="1"/>
      <c r="J4" s="1"/>
      <c r="K4" s="1"/>
      <c r="L4" s="1"/>
      <c r="M4" s="1"/>
      <c r="N4" s="1"/>
      <c r="O4" s="1"/>
      <c r="P4" s="1"/>
      <c r="Q4" s="1"/>
      <c r="R4" s="1"/>
    </row>
    <row r="5" spans="1:18" ht="18.75" customHeight="1" thickBot="1">
      <c r="A5" s="343"/>
      <c r="B5" s="510" t="s">
        <v>10</v>
      </c>
      <c r="C5" s="510"/>
      <c r="D5" s="510"/>
      <c r="E5" s="510"/>
      <c r="F5" s="510"/>
      <c r="G5" s="510"/>
      <c r="H5" s="511"/>
      <c r="I5" s="510" t="s">
        <v>11</v>
      </c>
      <c r="J5" s="510"/>
      <c r="K5" s="510"/>
      <c r="L5" s="510"/>
      <c r="M5" s="510"/>
      <c r="N5" s="510"/>
      <c r="O5" s="511"/>
      <c r="P5" s="353" t="s">
        <v>13</v>
      </c>
      <c r="Q5" s="494" t="s">
        <v>13</v>
      </c>
      <c r="R5" s="495" t="s">
        <v>8</v>
      </c>
    </row>
    <row r="6" spans="1:18" ht="18" customHeight="1">
      <c r="A6" s="344" t="s">
        <v>0</v>
      </c>
      <c r="B6" s="351" t="s">
        <v>1</v>
      </c>
      <c r="C6" s="352" t="s">
        <v>2</v>
      </c>
      <c r="D6" s="352" t="s">
        <v>3</v>
      </c>
      <c r="E6" s="352" t="s">
        <v>4</v>
      </c>
      <c r="F6" s="352" t="s">
        <v>5</v>
      </c>
      <c r="G6" s="352" t="s">
        <v>6</v>
      </c>
      <c r="H6" s="350" t="s">
        <v>12</v>
      </c>
      <c r="I6" s="353" t="s">
        <v>1</v>
      </c>
      <c r="J6" s="354" t="s">
        <v>2</v>
      </c>
      <c r="K6" s="355" t="s">
        <v>3</v>
      </c>
      <c r="L6" s="354" t="s">
        <v>4</v>
      </c>
      <c r="M6" s="354" t="s">
        <v>5</v>
      </c>
      <c r="N6" s="354" t="s">
        <v>6</v>
      </c>
      <c r="O6" s="356" t="s">
        <v>12</v>
      </c>
      <c r="P6" s="450" t="s">
        <v>6</v>
      </c>
      <c r="Q6" s="451" t="s">
        <v>6</v>
      </c>
      <c r="R6" s="452" t="s">
        <v>9</v>
      </c>
    </row>
    <row r="7" spans="1:18" ht="18" customHeight="1" thickBot="1">
      <c r="A7" s="345"/>
      <c r="B7" s="357"/>
      <c r="C7" s="358"/>
      <c r="D7" s="358"/>
      <c r="E7" s="358"/>
      <c r="F7" s="358"/>
      <c r="G7" s="358"/>
      <c r="H7" s="359"/>
      <c r="I7" s="360"/>
      <c r="J7" s="358"/>
      <c r="K7" s="361"/>
      <c r="L7" s="358"/>
      <c r="M7" s="358"/>
      <c r="N7" s="358"/>
      <c r="O7" s="359"/>
      <c r="P7" s="453">
        <v>2013</v>
      </c>
      <c r="Q7" s="454">
        <v>2012</v>
      </c>
      <c r="R7" s="455"/>
    </row>
    <row r="8" spans="1:20" ht="15.75" customHeight="1">
      <c r="A8" s="346" t="s">
        <v>23</v>
      </c>
      <c r="B8" s="61">
        <v>5406</v>
      </c>
      <c r="C8" s="61">
        <v>2813</v>
      </c>
      <c r="D8" s="48">
        <v>3345</v>
      </c>
      <c r="E8" s="48">
        <v>4412</v>
      </c>
      <c r="F8" s="48">
        <v>2650</v>
      </c>
      <c r="G8" s="48">
        <f aca="true" t="shared" si="0" ref="G8:G13">SUM(B8:F8)</f>
        <v>18626</v>
      </c>
      <c r="H8" s="111">
        <f aca="true" t="shared" si="1" ref="H8:H13">+G8/P8</f>
        <v>0.5107771622881588</v>
      </c>
      <c r="I8" s="47">
        <v>4276</v>
      </c>
      <c r="J8" s="48">
        <v>2474</v>
      </c>
      <c r="K8" s="48">
        <v>4248</v>
      </c>
      <c r="L8" s="48">
        <v>3565</v>
      </c>
      <c r="M8" s="48">
        <v>3277</v>
      </c>
      <c r="N8" s="48">
        <f aca="true" t="shared" si="2" ref="N8:N13">SUM(I8:M8)</f>
        <v>17840</v>
      </c>
      <c r="O8" s="111">
        <f aca="true" t="shared" si="3" ref="O8:O13">+N8/P8</f>
        <v>0.48922283771184116</v>
      </c>
      <c r="P8" s="47">
        <f aca="true" t="shared" si="4" ref="P8:P13">+G8+N8</f>
        <v>36466</v>
      </c>
      <c r="Q8" s="48">
        <v>32281</v>
      </c>
      <c r="R8" s="233">
        <f aca="true" t="shared" si="5" ref="R8:R13">+(P8/Q8)-1</f>
        <v>0.12964282395217008</v>
      </c>
      <c r="T8" s="36"/>
    </row>
    <row r="9" spans="1:20" ht="15.75" customHeight="1">
      <c r="A9" s="347" t="s">
        <v>24</v>
      </c>
      <c r="B9" s="62">
        <v>5393</v>
      </c>
      <c r="C9" s="62">
        <v>2834</v>
      </c>
      <c r="D9" s="50">
        <v>3269</v>
      </c>
      <c r="E9" s="50">
        <v>4446</v>
      </c>
      <c r="F9" s="50">
        <v>2652</v>
      </c>
      <c r="G9" s="52">
        <f t="shared" si="0"/>
        <v>18594</v>
      </c>
      <c r="H9" s="88">
        <f t="shared" si="1"/>
        <v>0.5134903758526415</v>
      </c>
      <c r="I9" s="49">
        <v>4078</v>
      </c>
      <c r="J9" s="50">
        <v>2434</v>
      </c>
      <c r="K9" s="50">
        <v>4186</v>
      </c>
      <c r="L9" s="50">
        <v>3576</v>
      </c>
      <c r="M9" s="50">
        <v>3343</v>
      </c>
      <c r="N9" s="52">
        <f t="shared" si="2"/>
        <v>17617</v>
      </c>
      <c r="O9" s="227">
        <f t="shared" si="3"/>
        <v>0.48650962414735854</v>
      </c>
      <c r="P9" s="69">
        <f t="shared" si="4"/>
        <v>36211</v>
      </c>
      <c r="Q9" s="50">
        <v>32291</v>
      </c>
      <c r="R9" s="217">
        <f t="shared" si="5"/>
        <v>0.12139605462822467</v>
      </c>
      <c r="T9" s="36"/>
    </row>
    <row r="10" spans="1:20" ht="15.75" customHeight="1">
      <c r="A10" s="347" t="s">
        <v>25</v>
      </c>
      <c r="B10" s="62">
        <v>5365</v>
      </c>
      <c r="C10" s="62">
        <v>2832</v>
      </c>
      <c r="D10" s="50">
        <v>3200</v>
      </c>
      <c r="E10" s="50">
        <v>4337</v>
      </c>
      <c r="F10" s="50">
        <v>2420</v>
      </c>
      <c r="G10" s="52">
        <f t="shared" si="0"/>
        <v>18154</v>
      </c>
      <c r="H10" s="88">
        <f t="shared" si="1"/>
        <v>0.5152409604359426</v>
      </c>
      <c r="I10" s="49">
        <v>4114</v>
      </c>
      <c r="J10" s="50">
        <v>2403</v>
      </c>
      <c r="K10" s="50">
        <v>4145</v>
      </c>
      <c r="L10" s="50">
        <v>3469</v>
      </c>
      <c r="M10" s="50">
        <v>2949</v>
      </c>
      <c r="N10" s="52">
        <f t="shared" si="2"/>
        <v>17080</v>
      </c>
      <c r="O10" s="227">
        <f t="shared" si="3"/>
        <v>0.48475903956405747</v>
      </c>
      <c r="P10" s="69">
        <f t="shared" si="4"/>
        <v>35234</v>
      </c>
      <c r="Q10" s="50">
        <v>31796</v>
      </c>
      <c r="R10" s="217">
        <f t="shared" si="5"/>
        <v>0.1081268084035727</v>
      </c>
      <c r="T10" s="36"/>
    </row>
    <row r="11" spans="1:20" ht="15.75" customHeight="1">
      <c r="A11" s="347" t="s">
        <v>26</v>
      </c>
      <c r="B11" s="62">
        <v>5671</v>
      </c>
      <c r="C11" s="62">
        <v>2883</v>
      </c>
      <c r="D11" s="50">
        <v>2098</v>
      </c>
      <c r="E11" s="50">
        <v>4555</v>
      </c>
      <c r="F11" s="50">
        <v>1926</v>
      </c>
      <c r="G11" s="52">
        <f t="shared" si="0"/>
        <v>17133</v>
      </c>
      <c r="H11" s="88">
        <f t="shared" si="1"/>
        <v>0.5373036033493274</v>
      </c>
      <c r="I11" s="51">
        <v>4293</v>
      </c>
      <c r="J11" s="52">
        <v>2275</v>
      </c>
      <c r="K11" s="52">
        <v>2742</v>
      </c>
      <c r="L11" s="52">
        <v>3520</v>
      </c>
      <c r="M11" s="52">
        <v>1924</v>
      </c>
      <c r="N11" s="52">
        <f t="shared" si="2"/>
        <v>14754</v>
      </c>
      <c r="O11" s="227">
        <f t="shared" si="3"/>
        <v>0.4626963966506727</v>
      </c>
      <c r="P11" s="69">
        <f t="shared" si="4"/>
        <v>31887</v>
      </c>
      <c r="Q11" s="52">
        <v>27901</v>
      </c>
      <c r="R11" s="217">
        <f t="shared" si="5"/>
        <v>0.1428622630013261</v>
      </c>
      <c r="T11" s="36"/>
    </row>
    <row r="12" spans="1:20" ht="15.75" customHeight="1">
      <c r="A12" s="346" t="s">
        <v>27</v>
      </c>
      <c r="B12" s="69">
        <v>5600</v>
      </c>
      <c r="C12" s="69">
        <v>2718</v>
      </c>
      <c r="D12" s="52">
        <v>1250</v>
      </c>
      <c r="E12" s="52">
        <v>4414</v>
      </c>
      <c r="F12" s="52">
        <v>1580</v>
      </c>
      <c r="G12" s="52">
        <f t="shared" si="0"/>
        <v>15562</v>
      </c>
      <c r="H12" s="88">
        <f t="shared" si="1"/>
        <v>0.5561631106822487</v>
      </c>
      <c r="I12" s="51">
        <v>4276</v>
      </c>
      <c r="J12" s="52">
        <v>2042</v>
      </c>
      <c r="K12" s="52">
        <v>1192</v>
      </c>
      <c r="L12" s="52">
        <v>3459</v>
      </c>
      <c r="M12" s="52">
        <v>1450</v>
      </c>
      <c r="N12" s="52">
        <f t="shared" si="2"/>
        <v>12419</v>
      </c>
      <c r="O12" s="227">
        <f t="shared" si="3"/>
        <v>0.44383688931775134</v>
      </c>
      <c r="P12" s="69">
        <f t="shared" si="4"/>
        <v>27981</v>
      </c>
      <c r="Q12" s="52">
        <v>24512</v>
      </c>
      <c r="R12" s="218">
        <f t="shared" si="5"/>
        <v>0.14152251958224538</v>
      </c>
      <c r="T12" s="36"/>
    </row>
    <row r="13" spans="1:20" ht="15.75" customHeight="1" thickBot="1">
      <c r="A13" s="348" t="s">
        <v>28</v>
      </c>
      <c r="B13" s="63">
        <v>5632</v>
      </c>
      <c r="C13" s="63">
        <v>2629</v>
      </c>
      <c r="D13" s="34">
        <v>947</v>
      </c>
      <c r="E13" s="34">
        <v>4266</v>
      </c>
      <c r="F13" s="34">
        <v>1407</v>
      </c>
      <c r="G13" s="34">
        <f t="shared" si="0"/>
        <v>14881</v>
      </c>
      <c r="H13" s="108">
        <f t="shared" si="1"/>
        <v>0.5260162601626016</v>
      </c>
      <c r="I13" s="35">
        <v>5046</v>
      </c>
      <c r="J13" s="34">
        <v>2302</v>
      </c>
      <c r="K13" s="34">
        <v>735</v>
      </c>
      <c r="L13" s="34">
        <v>3923</v>
      </c>
      <c r="M13" s="34">
        <v>1403</v>
      </c>
      <c r="N13" s="34">
        <f t="shared" si="2"/>
        <v>13409</v>
      </c>
      <c r="O13" s="228">
        <f t="shared" si="3"/>
        <v>0.4739837398373984</v>
      </c>
      <c r="P13" s="63">
        <f t="shared" si="4"/>
        <v>28290</v>
      </c>
      <c r="Q13" s="52">
        <v>24090</v>
      </c>
      <c r="R13" s="219">
        <f t="shared" si="5"/>
        <v>0.17434620174346205</v>
      </c>
      <c r="T13" s="36"/>
    </row>
    <row r="14" spans="1:20" ht="15.75" customHeight="1">
      <c r="A14" s="513" t="s">
        <v>49</v>
      </c>
      <c r="B14" s="515">
        <f aca="true" t="shared" si="6" ref="B14:G14">AVERAGE(B8:B13)</f>
        <v>5511.166666666667</v>
      </c>
      <c r="C14" s="517">
        <f t="shared" si="6"/>
        <v>2784.8333333333335</v>
      </c>
      <c r="D14" s="517">
        <f t="shared" si="6"/>
        <v>2351.5</v>
      </c>
      <c r="E14" s="517">
        <f t="shared" si="6"/>
        <v>4405</v>
      </c>
      <c r="F14" s="517">
        <f t="shared" si="6"/>
        <v>2105.8333333333335</v>
      </c>
      <c r="G14" s="517">
        <f t="shared" si="6"/>
        <v>17158.333333333332</v>
      </c>
      <c r="H14" s="519">
        <f>+G14/P14</f>
        <v>0.5250702558793078</v>
      </c>
      <c r="I14" s="515">
        <f aca="true" t="shared" si="7" ref="I14:N14">AVERAGE(I8:I13)</f>
        <v>4347.166666666667</v>
      </c>
      <c r="J14" s="517">
        <f t="shared" si="7"/>
        <v>2321.6666666666665</v>
      </c>
      <c r="K14" s="517">
        <f t="shared" si="7"/>
        <v>2874.6666666666665</v>
      </c>
      <c r="L14" s="517">
        <f t="shared" si="7"/>
        <v>3585.3333333333335</v>
      </c>
      <c r="M14" s="517">
        <f t="shared" si="7"/>
        <v>2391</v>
      </c>
      <c r="N14" s="517">
        <f t="shared" si="7"/>
        <v>15519.833333333334</v>
      </c>
      <c r="O14" s="519">
        <f>+N14/P14</f>
        <v>0.4749297441206922</v>
      </c>
      <c r="P14" s="515">
        <f>AVERAGE(P8:P13)</f>
        <v>32678.166666666668</v>
      </c>
      <c r="Q14" s="517">
        <f>AVERAGE(Q8:Q13)</f>
        <v>28811.833333333332</v>
      </c>
      <c r="R14" s="521">
        <f>+(P14/Q14)-1</f>
        <v>0.1341925482006816</v>
      </c>
      <c r="T14" s="36"/>
    </row>
    <row r="15" spans="1:20" ht="19.5" customHeight="1" thickBot="1">
      <c r="A15" s="514"/>
      <c r="B15" s="516"/>
      <c r="C15" s="518"/>
      <c r="D15" s="518"/>
      <c r="E15" s="518"/>
      <c r="F15" s="518"/>
      <c r="G15" s="518"/>
      <c r="H15" s="520"/>
      <c r="I15" s="516"/>
      <c r="J15" s="518"/>
      <c r="K15" s="518"/>
      <c r="L15" s="518"/>
      <c r="M15" s="518"/>
      <c r="N15" s="518"/>
      <c r="O15" s="520"/>
      <c r="P15" s="516"/>
      <c r="Q15" s="518"/>
      <c r="R15" s="522"/>
      <c r="S15" s="8"/>
      <c r="T15" s="36"/>
    </row>
    <row r="16" spans="1:20" ht="15.75" customHeight="1">
      <c r="A16" s="349" t="s">
        <v>29</v>
      </c>
      <c r="B16" s="69">
        <v>5514</v>
      </c>
      <c r="C16" s="69">
        <v>2588</v>
      </c>
      <c r="D16" s="52">
        <v>905</v>
      </c>
      <c r="E16" s="52">
        <v>4277</v>
      </c>
      <c r="F16" s="52">
        <v>1288</v>
      </c>
      <c r="G16" s="48">
        <f aca="true" t="shared" si="8" ref="G16:G21">SUM(B16:F16)</f>
        <v>14572</v>
      </c>
      <c r="H16" s="88">
        <f aca="true" t="shared" si="9" ref="H16:H21">+G16/P16</f>
        <v>0.4934976971010566</v>
      </c>
      <c r="I16" s="51">
        <v>5732</v>
      </c>
      <c r="J16" s="52">
        <v>2457</v>
      </c>
      <c r="K16" s="52">
        <v>744</v>
      </c>
      <c r="L16" s="52">
        <v>4533</v>
      </c>
      <c r="M16" s="52">
        <v>1490</v>
      </c>
      <c r="N16" s="52">
        <f aca="true" t="shared" si="10" ref="N16:N21">SUM(I16:M16)</f>
        <v>14956</v>
      </c>
      <c r="O16" s="227">
        <f aca="true" t="shared" si="11" ref="O16:O21">+N16/P16</f>
        <v>0.5065023028989434</v>
      </c>
      <c r="P16" s="69">
        <f aca="true" t="shared" si="12" ref="P16:P21">+G16+N16</f>
        <v>29528</v>
      </c>
      <c r="Q16" s="52">
        <v>25399</v>
      </c>
      <c r="R16" s="218">
        <f aca="true" t="shared" si="13" ref="R16:R21">+(P16/Q16)-1</f>
        <v>0.16256545533288702</v>
      </c>
      <c r="T16" s="36"/>
    </row>
    <row r="17" spans="1:20" ht="15.75" customHeight="1">
      <c r="A17" s="347" t="s">
        <v>7</v>
      </c>
      <c r="B17" s="69">
        <v>5646</v>
      </c>
      <c r="C17" s="69">
        <v>2483</v>
      </c>
      <c r="D17" s="52">
        <v>876</v>
      </c>
      <c r="E17" s="52">
        <v>4262</v>
      </c>
      <c r="F17" s="52">
        <v>1195</v>
      </c>
      <c r="G17" s="52">
        <f t="shared" si="8"/>
        <v>14462</v>
      </c>
      <c r="H17" s="88">
        <f t="shared" si="9"/>
        <v>0.4765859284890427</v>
      </c>
      <c r="I17" s="221">
        <v>6416</v>
      </c>
      <c r="J17" s="64">
        <v>2495</v>
      </c>
      <c r="K17" s="64">
        <v>743</v>
      </c>
      <c r="L17" s="64">
        <v>4764</v>
      </c>
      <c r="M17" s="64">
        <v>1465</v>
      </c>
      <c r="N17" s="52">
        <f t="shared" si="10"/>
        <v>15883</v>
      </c>
      <c r="O17" s="227">
        <f t="shared" si="11"/>
        <v>0.5234140715109573</v>
      </c>
      <c r="P17" s="69">
        <f t="shared" si="12"/>
        <v>30345</v>
      </c>
      <c r="Q17" s="52">
        <v>24866</v>
      </c>
      <c r="R17" s="219">
        <f t="shared" si="13"/>
        <v>0.22034102790959542</v>
      </c>
      <c r="T17" s="23"/>
    </row>
    <row r="18" spans="1:18" ht="15.75" customHeight="1">
      <c r="A18" s="347" t="s">
        <v>30</v>
      </c>
      <c r="B18" s="62">
        <v>5402</v>
      </c>
      <c r="C18" s="62">
        <v>2459</v>
      </c>
      <c r="D18" s="50">
        <v>878</v>
      </c>
      <c r="E18" s="50">
        <v>4052</v>
      </c>
      <c r="F18" s="50">
        <v>1168</v>
      </c>
      <c r="G18" s="52">
        <f t="shared" si="8"/>
        <v>13959</v>
      </c>
      <c r="H18" s="88">
        <f t="shared" si="9"/>
        <v>0.47238578680203047</v>
      </c>
      <c r="I18" s="49">
        <v>6300</v>
      </c>
      <c r="J18" s="50">
        <v>2516</v>
      </c>
      <c r="K18" s="50">
        <v>737</v>
      </c>
      <c r="L18" s="50">
        <v>4627</v>
      </c>
      <c r="M18" s="50">
        <v>1411</v>
      </c>
      <c r="N18" s="52">
        <f t="shared" si="10"/>
        <v>15591</v>
      </c>
      <c r="O18" s="227">
        <f t="shared" si="11"/>
        <v>0.5276142131979695</v>
      </c>
      <c r="P18" s="69">
        <f t="shared" si="12"/>
        <v>29550</v>
      </c>
      <c r="Q18" s="50">
        <v>24913</v>
      </c>
      <c r="R18" s="218">
        <f t="shared" si="13"/>
        <v>0.18612772448119452</v>
      </c>
    </row>
    <row r="19" spans="1:18" ht="15.75" customHeight="1">
      <c r="A19" s="347" t="s">
        <v>31</v>
      </c>
      <c r="B19" s="62">
        <v>5293</v>
      </c>
      <c r="C19" s="62">
        <v>2337</v>
      </c>
      <c r="D19" s="50">
        <v>973</v>
      </c>
      <c r="E19" s="50">
        <v>4067</v>
      </c>
      <c r="F19" s="50">
        <v>1180</v>
      </c>
      <c r="G19" s="52">
        <f t="shared" si="8"/>
        <v>13850</v>
      </c>
      <c r="H19" s="88">
        <f t="shared" si="9"/>
        <v>0.5112021555383309</v>
      </c>
      <c r="I19" s="49">
        <v>5350</v>
      </c>
      <c r="J19" s="50">
        <v>2071</v>
      </c>
      <c r="K19" s="50">
        <v>717</v>
      </c>
      <c r="L19" s="50">
        <v>3835</v>
      </c>
      <c r="M19" s="50">
        <v>1270</v>
      </c>
      <c r="N19" s="52">
        <f t="shared" si="10"/>
        <v>13243</v>
      </c>
      <c r="O19" s="227">
        <f t="shared" si="11"/>
        <v>0.4887978444616691</v>
      </c>
      <c r="P19" s="69">
        <f t="shared" si="12"/>
        <v>27093</v>
      </c>
      <c r="Q19" s="52">
        <f>'άνεργοι κατά μήνα 2006-2013'!S16</f>
        <v>22957</v>
      </c>
      <c r="R19" s="218">
        <f t="shared" si="13"/>
        <v>0.1801629132726401</v>
      </c>
    </row>
    <row r="20" spans="1:18" ht="15.75" customHeight="1">
      <c r="A20" s="347" t="s">
        <v>32</v>
      </c>
      <c r="B20" s="62">
        <v>5045</v>
      </c>
      <c r="C20" s="62">
        <v>2595</v>
      </c>
      <c r="D20" s="50">
        <v>2901</v>
      </c>
      <c r="E20" s="50">
        <v>4122</v>
      </c>
      <c r="F20" s="50">
        <v>1853</v>
      </c>
      <c r="G20" s="52">
        <f t="shared" si="8"/>
        <v>16516</v>
      </c>
      <c r="H20" s="88">
        <f t="shared" si="9"/>
        <v>0.5059583984315167</v>
      </c>
      <c r="I20" s="49">
        <v>4721</v>
      </c>
      <c r="J20" s="50">
        <v>2287</v>
      </c>
      <c r="K20" s="50">
        <v>3339</v>
      </c>
      <c r="L20" s="50">
        <v>3637</v>
      </c>
      <c r="M20" s="50">
        <v>2143</v>
      </c>
      <c r="N20" s="50">
        <f t="shared" si="10"/>
        <v>16127</v>
      </c>
      <c r="O20" s="229">
        <f t="shared" si="11"/>
        <v>0.4940416015684833</v>
      </c>
      <c r="P20" s="62">
        <f t="shared" si="12"/>
        <v>32643</v>
      </c>
      <c r="Q20" s="52">
        <f>'άνεργοι κατά μήνα 2006-2013'!S17</f>
        <v>29393</v>
      </c>
      <c r="R20" s="218">
        <f t="shared" si="13"/>
        <v>0.11057054400707655</v>
      </c>
    </row>
    <row r="21" spans="1:18" ht="15.75" customHeight="1" thickBot="1">
      <c r="A21" s="348" t="s">
        <v>33</v>
      </c>
      <c r="B21" s="63">
        <v>5146</v>
      </c>
      <c r="C21" s="63">
        <v>2776</v>
      </c>
      <c r="D21" s="34">
        <v>3456</v>
      </c>
      <c r="E21" s="34">
        <v>4398</v>
      </c>
      <c r="F21" s="34">
        <v>2618</v>
      </c>
      <c r="G21" s="64">
        <f t="shared" si="8"/>
        <v>18394</v>
      </c>
      <c r="H21" s="88">
        <f t="shared" si="9"/>
        <v>0.5009804989650288</v>
      </c>
      <c r="I21" s="35">
        <v>4693</v>
      </c>
      <c r="J21" s="63">
        <v>2515</v>
      </c>
      <c r="K21" s="34">
        <v>4220</v>
      </c>
      <c r="L21" s="34">
        <v>3818</v>
      </c>
      <c r="M21" s="34">
        <v>3076</v>
      </c>
      <c r="N21" s="34">
        <f t="shared" si="10"/>
        <v>18322</v>
      </c>
      <c r="O21" s="228">
        <f t="shared" si="11"/>
        <v>0.4990195010349711</v>
      </c>
      <c r="P21" s="63">
        <f t="shared" si="12"/>
        <v>36716</v>
      </c>
      <c r="Q21" s="52">
        <f>'άνεργοι κατά μήνα 2006-2013'!S18</f>
        <v>33374</v>
      </c>
      <c r="R21" s="218">
        <f t="shared" si="13"/>
        <v>0.1001378318451489</v>
      </c>
    </row>
    <row r="22" spans="1:18" ht="15.75" customHeight="1">
      <c r="A22" s="513" t="s">
        <v>47</v>
      </c>
      <c r="B22" s="59"/>
      <c r="C22" s="56"/>
      <c r="D22" s="56"/>
      <c r="E22" s="56"/>
      <c r="F22" s="56"/>
      <c r="G22" s="59"/>
      <c r="H22" s="60"/>
      <c r="I22" s="55"/>
      <c r="J22" s="56"/>
      <c r="K22" s="56"/>
      <c r="L22" s="56"/>
      <c r="M22" s="56"/>
      <c r="N22" s="56"/>
      <c r="O22" s="109"/>
      <c r="P22" s="59"/>
      <c r="Q22" s="56"/>
      <c r="R22" s="110"/>
    </row>
    <row r="23" spans="1:21" ht="21.75" customHeight="1" thickBot="1">
      <c r="A23" s="514"/>
      <c r="B23" s="282">
        <f aca="true" t="shared" si="14" ref="B23:G23">AVERAGE(B16:B21)</f>
        <v>5341</v>
      </c>
      <c r="C23" s="283">
        <f t="shared" si="14"/>
        <v>2539.6666666666665</v>
      </c>
      <c r="D23" s="283">
        <f t="shared" si="14"/>
        <v>1664.8333333333333</v>
      </c>
      <c r="E23" s="283">
        <f t="shared" si="14"/>
        <v>4196.333333333333</v>
      </c>
      <c r="F23" s="283">
        <f t="shared" si="14"/>
        <v>1550.3333333333333</v>
      </c>
      <c r="G23" s="282">
        <f t="shared" si="14"/>
        <v>15292.166666666666</v>
      </c>
      <c r="H23" s="289">
        <f>G23/P23</f>
        <v>0.4936274377942166</v>
      </c>
      <c r="I23" s="285">
        <f aca="true" t="shared" si="15" ref="I23:N23">AVERAGE(I16:I21)</f>
        <v>5535.333333333333</v>
      </c>
      <c r="J23" s="283">
        <f t="shared" si="15"/>
        <v>2390.1666666666665</v>
      </c>
      <c r="K23" s="283">
        <f t="shared" si="15"/>
        <v>1750</v>
      </c>
      <c r="L23" s="283">
        <f t="shared" si="15"/>
        <v>4202.333333333333</v>
      </c>
      <c r="M23" s="283">
        <f t="shared" si="15"/>
        <v>1809.1666666666667</v>
      </c>
      <c r="N23" s="283">
        <f t="shared" si="15"/>
        <v>15687</v>
      </c>
      <c r="O23" s="284">
        <f>N23/P23</f>
        <v>0.5063725622057835</v>
      </c>
      <c r="P23" s="282">
        <f>G23+N23</f>
        <v>30979.166666666664</v>
      </c>
      <c r="Q23" s="283">
        <f>AVERAGE(Q16:Q21)</f>
        <v>26817</v>
      </c>
      <c r="R23" s="286">
        <f>P23/Q23-1</f>
        <v>0.15520627462679126</v>
      </c>
      <c r="S23" s="161"/>
      <c r="T23" s="161"/>
      <c r="U23" s="161"/>
    </row>
    <row r="24" spans="1:18" ht="15.75" customHeight="1">
      <c r="A24" s="513" t="s">
        <v>52</v>
      </c>
      <c r="B24" s="189"/>
      <c r="C24" s="6"/>
      <c r="D24" s="6"/>
      <c r="E24" s="6"/>
      <c r="F24" s="6"/>
      <c r="G24" s="189"/>
      <c r="H24" s="67"/>
      <c r="I24" s="216"/>
      <c r="J24" s="215"/>
      <c r="K24" s="215"/>
      <c r="L24" s="215"/>
      <c r="M24" s="215"/>
      <c r="N24" s="215"/>
      <c r="O24" s="222"/>
      <c r="P24" s="65"/>
      <c r="Q24" s="215"/>
      <c r="R24" s="220"/>
    </row>
    <row r="25" spans="1:19" ht="18.75" customHeight="1" thickBot="1">
      <c r="A25" s="514"/>
      <c r="B25" s="282">
        <f aca="true" t="shared" si="16" ref="B25:G25">AVERAGE(B14,B23)</f>
        <v>5426.083333333334</v>
      </c>
      <c r="C25" s="283">
        <f t="shared" si="16"/>
        <v>2662.25</v>
      </c>
      <c r="D25" s="283">
        <f t="shared" si="16"/>
        <v>2008.1666666666665</v>
      </c>
      <c r="E25" s="283">
        <f t="shared" si="16"/>
        <v>4300.666666666666</v>
      </c>
      <c r="F25" s="283">
        <f t="shared" si="16"/>
        <v>1828.0833333333335</v>
      </c>
      <c r="G25" s="282">
        <f t="shared" si="16"/>
        <v>16225.25</v>
      </c>
      <c r="H25" s="289">
        <f>+G25/P25</f>
        <v>0.5097684477305574</v>
      </c>
      <c r="I25" s="285">
        <f aca="true" t="shared" si="17" ref="I25:N25">AVERAGE(I14,I23)</f>
        <v>4941.25</v>
      </c>
      <c r="J25" s="283">
        <f t="shared" si="17"/>
        <v>2355.9166666666665</v>
      </c>
      <c r="K25" s="283">
        <f t="shared" si="17"/>
        <v>2312.333333333333</v>
      </c>
      <c r="L25" s="283">
        <f t="shared" si="17"/>
        <v>3893.833333333333</v>
      </c>
      <c r="M25" s="283">
        <f t="shared" si="17"/>
        <v>2100.0833333333335</v>
      </c>
      <c r="N25" s="283">
        <f t="shared" si="17"/>
        <v>15603.416666666668</v>
      </c>
      <c r="O25" s="284">
        <f>+N25/P25</f>
        <v>0.4902315522694427</v>
      </c>
      <c r="P25" s="282">
        <f>AVERAGE(P14,P23)</f>
        <v>31828.666666666664</v>
      </c>
      <c r="Q25" s="283">
        <f>AVERAGE(Q14,Q23)</f>
        <v>27814.416666666664</v>
      </c>
      <c r="R25" s="286">
        <f>+(P25/Q25)-1</f>
        <v>0.14432263843989768</v>
      </c>
      <c r="S25" s="43"/>
    </row>
    <row r="26" spans="1:18" ht="12.75">
      <c r="A26" s="7"/>
      <c r="B26" s="7"/>
      <c r="C26" s="7"/>
      <c r="D26" s="7"/>
      <c r="E26" s="7"/>
      <c r="F26" s="7"/>
      <c r="G26" s="7"/>
      <c r="H26" s="7"/>
      <c r="I26" s="7"/>
      <c r="J26" s="7"/>
      <c r="K26" s="7"/>
      <c r="L26" s="7"/>
      <c r="M26" s="7"/>
      <c r="N26" s="7"/>
      <c r="O26" s="7"/>
      <c r="P26" s="7"/>
      <c r="Q26" s="7"/>
      <c r="R26" s="7"/>
    </row>
    <row r="27" spans="1:18" ht="12.75">
      <c r="A27" s="39"/>
      <c r="B27" s="2"/>
      <c r="C27" s="2"/>
      <c r="D27" s="1"/>
      <c r="E27" s="1"/>
      <c r="F27" s="1"/>
      <c r="G27" s="1"/>
      <c r="H27" s="1"/>
      <c r="I27" s="1"/>
      <c r="J27" s="1"/>
      <c r="K27" s="1"/>
      <c r="L27" s="1"/>
      <c r="M27" s="1"/>
      <c r="N27" s="46"/>
      <c r="O27" s="1"/>
      <c r="P27" s="1"/>
      <c r="Q27" s="1"/>
      <c r="R27" s="1"/>
    </row>
    <row r="28" spans="1:18" ht="12.75">
      <c r="A28" s="1"/>
      <c r="B28" s="5"/>
      <c r="C28" s="3"/>
      <c r="D28" s="2"/>
      <c r="E28" s="2"/>
      <c r="F28" s="1"/>
      <c r="G28" s="1"/>
      <c r="H28" s="1"/>
      <c r="I28" s="1"/>
      <c r="J28" s="1"/>
      <c r="K28" s="1"/>
      <c r="L28" s="4"/>
      <c r="M28" s="4"/>
      <c r="N28" s="46" t="s">
        <v>36</v>
      </c>
      <c r="O28" s="97"/>
      <c r="P28" s="97"/>
      <c r="Q28" s="97"/>
      <c r="R28" s="46"/>
    </row>
    <row r="29" spans="1:18" ht="12.75">
      <c r="A29" s="76">
        <v>41687</v>
      </c>
      <c r="B29" s="4"/>
      <c r="C29" s="4"/>
      <c r="D29" s="1"/>
      <c r="E29" s="1"/>
      <c r="F29" s="1"/>
      <c r="G29" s="1"/>
      <c r="H29" s="1"/>
      <c r="I29" s="1"/>
      <c r="J29" s="1"/>
      <c r="K29" s="1"/>
      <c r="L29" s="1"/>
      <c r="M29" s="1"/>
      <c r="N29" s="46" t="s">
        <v>14</v>
      </c>
      <c r="O29" s="97"/>
      <c r="P29" s="97"/>
      <c r="Q29" s="97"/>
      <c r="R29" s="46"/>
    </row>
    <row r="30" spans="1:18" ht="12.75">
      <c r="A30" s="1"/>
      <c r="B30" s="1"/>
      <c r="C30" s="1"/>
      <c r="D30" s="1"/>
      <c r="E30" s="1"/>
      <c r="F30" s="1"/>
      <c r="G30" s="1"/>
      <c r="H30" s="1"/>
      <c r="I30" s="1"/>
      <c r="J30" s="1"/>
      <c r="K30" s="1"/>
      <c r="L30" s="1"/>
      <c r="M30" s="1"/>
      <c r="N30" s="1"/>
      <c r="O30" s="1"/>
      <c r="P30" s="1"/>
      <c r="Q30" s="1"/>
      <c r="R30" s="1"/>
    </row>
    <row r="31" spans="1:18" ht="12.75">
      <c r="A31" s="1"/>
      <c r="B31" s="1"/>
      <c r="C31" s="1"/>
      <c r="D31" s="1"/>
      <c r="E31" s="1"/>
      <c r="F31" s="1"/>
      <c r="G31" s="1"/>
      <c r="H31" s="1"/>
      <c r="I31" s="1"/>
      <c r="J31" s="1"/>
      <c r="K31" s="1"/>
      <c r="L31" s="1"/>
      <c r="M31" s="1"/>
      <c r="N31" s="1"/>
      <c r="O31" s="1"/>
      <c r="P31" s="1"/>
      <c r="Q31" s="1"/>
      <c r="R31" s="1"/>
    </row>
    <row r="32" spans="1:19" ht="12.75" customHeight="1">
      <c r="A32" s="4"/>
      <c r="B32" s="1"/>
      <c r="C32" s="1"/>
      <c r="D32" s="1"/>
      <c r="E32" s="1"/>
      <c r="F32" s="1"/>
      <c r="G32" s="1"/>
      <c r="H32" s="1"/>
      <c r="I32" s="1"/>
      <c r="J32" s="1"/>
      <c r="K32" s="1"/>
      <c r="L32" s="1"/>
      <c r="M32" s="1" t="s">
        <v>35</v>
      </c>
      <c r="N32" s="46"/>
      <c r="O32" s="46"/>
      <c r="P32" s="46"/>
      <c r="Q32" s="42"/>
      <c r="R32" s="42"/>
      <c r="S32" s="42"/>
    </row>
    <row r="33" spans="1:19" ht="12.75" customHeight="1">
      <c r="A33" s="39"/>
      <c r="B33" s="1"/>
      <c r="C33" s="1"/>
      <c r="D33" s="1"/>
      <c r="E33" s="1"/>
      <c r="F33" s="1"/>
      <c r="G33" s="1"/>
      <c r="H33" s="1"/>
      <c r="I33" s="1"/>
      <c r="J33" s="1"/>
      <c r="K33" s="1"/>
      <c r="L33" s="1"/>
      <c r="M33" s="1"/>
      <c r="N33" s="46"/>
      <c r="O33" s="46"/>
      <c r="P33" s="46"/>
      <c r="Q33" s="42"/>
      <c r="R33" s="42"/>
      <c r="S33" s="42"/>
    </row>
    <row r="34" spans="1:18" ht="12.75">
      <c r="A34" s="1"/>
      <c r="B34" s="1"/>
      <c r="C34" s="1"/>
      <c r="D34" s="1"/>
      <c r="E34" s="1"/>
      <c r="F34" s="1"/>
      <c r="G34" s="1"/>
      <c r="H34" s="1"/>
      <c r="I34" s="1"/>
      <c r="J34" s="1"/>
      <c r="K34" s="1"/>
      <c r="L34" s="1"/>
      <c r="M34" s="1"/>
      <c r="N34" s="1"/>
      <c r="O34" s="1"/>
      <c r="P34" s="1"/>
      <c r="Q34" s="1"/>
      <c r="R34" s="1"/>
    </row>
    <row r="35" spans="1:18" ht="12.75">
      <c r="A35" s="1"/>
      <c r="B35" s="1"/>
      <c r="C35" s="1"/>
      <c r="D35" s="1"/>
      <c r="E35" s="1"/>
      <c r="F35" s="1"/>
      <c r="G35" s="1"/>
      <c r="H35" s="1"/>
      <c r="I35" s="1"/>
      <c r="J35" s="1"/>
      <c r="K35" s="1"/>
      <c r="L35" s="1"/>
      <c r="M35" s="1"/>
      <c r="N35" s="1"/>
      <c r="O35" s="1"/>
      <c r="P35" s="1"/>
      <c r="Q35" s="1"/>
      <c r="R35" s="1"/>
    </row>
    <row r="36" spans="1:18" ht="12.75">
      <c r="A36" s="1"/>
      <c r="B36" s="1"/>
      <c r="C36" s="1"/>
      <c r="D36" s="1"/>
      <c r="E36" s="1"/>
      <c r="F36" s="1"/>
      <c r="G36" s="1"/>
      <c r="H36" s="1"/>
      <c r="I36" s="1"/>
      <c r="J36" s="1"/>
      <c r="K36" s="1"/>
      <c r="L36" s="1"/>
      <c r="M36" s="1"/>
      <c r="N36" s="1"/>
      <c r="O36" s="1"/>
      <c r="P36" s="1"/>
      <c r="Q36" s="1"/>
      <c r="R36" s="1"/>
    </row>
    <row r="37" spans="1:18" ht="12.75">
      <c r="A37" s="1"/>
      <c r="B37" s="1"/>
      <c r="C37" s="1"/>
      <c r="D37" s="1"/>
      <c r="E37" s="1"/>
      <c r="F37" s="1"/>
      <c r="G37" s="1"/>
      <c r="H37" s="1"/>
      <c r="I37" s="1"/>
      <c r="J37" s="1"/>
      <c r="K37" s="1"/>
      <c r="L37" s="1"/>
      <c r="M37" s="1"/>
      <c r="N37" s="1"/>
      <c r="O37" s="1"/>
      <c r="P37" s="1"/>
      <c r="Q37" s="1"/>
      <c r="R37" s="1"/>
    </row>
    <row r="38" spans="1:18" ht="12.75">
      <c r="A38" s="1"/>
      <c r="B38" s="1"/>
      <c r="C38" s="1"/>
      <c r="D38" s="1"/>
      <c r="E38" s="1"/>
      <c r="F38" s="1"/>
      <c r="G38" s="1"/>
      <c r="H38" s="1"/>
      <c r="I38" s="1"/>
      <c r="J38" s="1"/>
      <c r="K38" s="1"/>
      <c r="L38" s="1"/>
      <c r="M38" s="1"/>
      <c r="N38" s="1"/>
      <c r="O38" s="1"/>
      <c r="P38" s="1"/>
      <c r="Q38" s="1"/>
      <c r="R38" s="1"/>
    </row>
    <row r="39" spans="14:18" ht="12.75">
      <c r="N39" s="1"/>
      <c r="O39" s="1"/>
      <c r="P39" s="1"/>
      <c r="Q39" s="1"/>
      <c r="R39" s="1"/>
    </row>
  </sheetData>
  <sheetProtection/>
  <mergeCells count="23">
    <mergeCell ref="R14:R15"/>
    <mergeCell ref="J14:J15"/>
    <mergeCell ref="K14:K15"/>
    <mergeCell ref="L14:L15"/>
    <mergeCell ref="M14:M15"/>
    <mergeCell ref="N14:N15"/>
    <mergeCell ref="O14:O15"/>
    <mergeCell ref="F14:F15"/>
    <mergeCell ref="G14:G15"/>
    <mergeCell ref="H14:H15"/>
    <mergeCell ref="I14:I15"/>
    <mergeCell ref="P14:P15"/>
    <mergeCell ref="Q14:Q15"/>
    <mergeCell ref="B5:H5"/>
    <mergeCell ref="I5:O5"/>
    <mergeCell ref="P1:R1"/>
    <mergeCell ref="A14:A15"/>
    <mergeCell ref="A22:A23"/>
    <mergeCell ref="A24:A25"/>
    <mergeCell ref="B14:B15"/>
    <mergeCell ref="C14:C15"/>
    <mergeCell ref="D14:D15"/>
    <mergeCell ref="E14:E15"/>
  </mergeCells>
  <printOptions/>
  <pageMargins left="0" right="0"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H36"/>
  <sheetViews>
    <sheetView zoomScalePageLayoutView="0" workbookViewId="0" topLeftCell="A13">
      <selection activeCell="E27" sqref="E27"/>
    </sheetView>
  </sheetViews>
  <sheetFormatPr defaultColWidth="9.140625" defaultRowHeight="12.75"/>
  <cols>
    <col min="1" max="1" width="4.8515625" style="0" customWidth="1"/>
    <col min="2" max="2" width="60.8515625" style="0" customWidth="1"/>
    <col min="3" max="3" width="12.8515625" style="0" customWidth="1"/>
    <col min="4" max="7" width="12.7109375" style="0" customWidth="1"/>
  </cols>
  <sheetData>
    <row r="1" ht="12.75">
      <c r="A1" s="287" t="s">
        <v>134</v>
      </c>
    </row>
    <row r="2" ht="6.75" customHeight="1">
      <c r="A2" s="92"/>
    </row>
    <row r="3" spans="1:7" ht="27.75" customHeight="1">
      <c r="A3" s="601" t="s">
        <v>119</v>
      </c>
      <c r="B3" s="601"/>
      <c r="C3" s="601"/>
      <c r="D3" s="601"/>
      <c r="E3" s="601"/>
      <c r="F3" s="601"/>
      <c r="G3" s="601"/>
    </row>
    <row r="4" spans="1:4" ht="12" customHeight="1" thickBot="1">
      <c r="A4" s="586"/>
      <c r="B4" s="586"/>
      <c r="C4" s="586"/>
      <c r="D4" s="586"/>
    </row>
    <row r="5" spans="1:8" ht="12.75">
      <c r="A5" s="241"/>
      <c r="B5" s="399"/>
      <c r="C5" s="590" t="s">
        <v>66</v>
      </c>
      <c r="D5" s="591"/>
      <c r="E5" s="591"/>
      <c r="F5" s="591"/>
      <c r="G5" s="591"/>
      <c r="H5" s="600"/>
    </row>
    <row r="6" spans="1:8" ht="12.75">
      <c r="A6" s="242" t="s">
        <v>67</v>
      </c>
      <c r="B6" s="401" t="s">
        <v>68</v>
      </c>
      <c r="C6" s="592" t="s">
        <v>69</v>
      </c>
      <c r="D6" s="593"/>
      <c r="E6" s="594" t="s">
        <v>70</v>
      </c>
      <c r="F6" s="594"/>
      <c r="G6" s="595" t="s">
        <v>6</v>
      </c>
      <c r="H6" s="598" t="s">
        <v>144</v>
      </c>
    </row>
    <row r="7" spans="1:8" ht="24.75" customHeight="1" thickBot="1">
      <c r="A7" s="430"/>
      <c r="B7" s="431"/>
      <c r="C7" s="422" t="s">
        <v>71</v>
      </c>
      <c r="D7" s="318" t="s">
        <v>72</v>
      </c>
      <c r="E7" s="318" t="s">
        <v>72</v>
      </c>
      <c r="F7" s="318" t="s">
        <v>73</v>
      </c>
      <c r="G7" s="596"/>
      <c r="H7" s="599"/>
    </row>
    <row r="8" spans="1:8" ht="15" customHeight="1">
      <c r="A8" s="428">
        <v>1</v>
      </c>
      <c r="B8" s="429" t="s">
        <v>74</v>
      </c>
      <c r="C8" s="420">
        <v>0</v>
      </c>
      <c r="D8" s="240">
        <v>0</v>
      </c>
      <c r="E8" s="265">
        <v>0</v>
      </c>
      <c r="F8" s="265">
        <v>165</v>
      </c>
      <c r="G8" s="237">
        <f>SUM(C8+D8+E8+F8)</f>
        <v>165</v>
      </c>
      <c r="H8" s="322">
        <f>G8/G31</f>
        <v>0.005174522532693574</v>
      </c>
    </row>
    <row r="9" spans="1:8" ht="15" customHeight="1">
      <c r="A9" s="244">
        <v>2</v>
      </c>
      <c r="B9" s="404" t="s">
        <v>75</v>
      </c>
      <c r="C9" s="394">
        <v>0</v>
      </c>
      <c r="D9" s="192">
        <v>0</v>
      </c>
      <c r="E9" s="193">
        <v>0</v>
      </c>
      <c r="F9" s="193">
        <v>63</v>
      </c>
      <c r="G9" s="316">
        <f>SUM(C9+D9+E9+F9)</f>
        <v>63</v>
      </c>
      <c r="H9" s="323">
        <f>G9/G31</f>
        <v>0.0019757267852102737</v>
      </c>
    </row>
    <row r="10" spans="1:8" ht="15" customHeight="1">
      <c r="A10" s="244">
        <v>3</v>
      </c>
      <c r="B10" s="404" t="s">
        <v>76</v>
      </c>
      <c r="C10" s="394">
        <v>58</v>
      </c>
      <c r="D10" s="192">
        <v>0</v>
      </c>
      <c r="E10" s="193">
        <v>0</v>
      </c>
      <c r="F10" s="193">
        <v>3096</v>
      </c>
      <c r="G10" s="316">
        <f aca="true" t="shared" si="0" ref="G10:G29">SUM(C10+D10+E10+F10)</f>
        <v>3154</v>
      </c>
      <c r="H10" s="323">
        <f>G10/G31</f>
        <v>0.09891178223100323</v>
      </c>
    </row>
    <row r="11" spans="1:8" ht="15" customHeight="1">
      <c r="A11" s="244">
        <v>4</v>
      </c>
      <c r="B11" s="404" t="s">
        <v>77</v>
      </c>
      <c r="C11" s="395">
        <v>0</v>
      </c>
      <c r="D11" s="194">
        <v>0</v>
      </c>
      <c r="E11" s="195">
        <v>0</v>
      </c>
      <c r="F11" s="179">
        <v>22</v>
      </c>
      <c r="G11" s="317">
        <f t="shared" si="0"/>
        <v>22</v>
      </c>
      <c r="H11" s="323">
        <f>G11/G31</f>
        <v>0.0006899363376924766</v>
      </c>
    </row>
    <row r="12" spans="1:8" ht="26.25" customHeight="1">
      <c r="A12" s="244">
        <v>5</v>
      </c>
      <c r="B12" s="404" t="s">
        <v>78</v>
      </c>
      <c r="C12" s="394">
        <v>0</v>
      </c>
      <c r="D12" s="192">
        <v>0</v>
      </c>
      <c r="E12" s="193">
        <v>0</v>
      </c>
      <c r="F12" s="193">
        <v>21</v>
      </c>
      <c r="G12" s="317">
        <f t="shared" si="0"/>
        <v>21</v>
      </c>
      <c r="H12" s="323">
        <f>G12/G31</f>
        <v>0.0006585755950700913</v>
      </c>
    </row>
    <row r="13" spans="1:8" ht="15" customHeight="1">
      <c r="A13" s="244">
        <v>6</v>
      </c>
      <c r="B13" s="404" t="s">
        <v>79</v>
      </c>
      <c r="C13" s="426">
        <v>0</v>
      </c>
      <c r="D13" s="240"/>
      <c r="E13" s="180">
        <v>8</v>
      </c>
      <c r="F13" s="180">
        <v>5208</v>
      </c>
      <c r="G13" s="491">
        <f t="shared" si="0"/>
        <v>5216</v>
      </c>
      <c r="H13" s="323">
        <f>G13/G31</f>
        <v>0.16357763351836171</v>
      </c>
    </row>
    <row r="14" spans="1:8" ht="24.75" customHeight="1">
      <c r="A14" s="244">
        <v>7</v>
      </c>
      <c r="B14" s="404" t="s">
        <v>80</v>
      </c>
      <c r="C14" s="395">
        <v>0</v>
      </c>
      <c r="D14" s="192"/>
      <c r="E14" s="179">
        <v>19</v>
      </c>
      <c r="F14" s="179">
        <v>6391</v>
      </c>
      <c r="G14" s="317">
        <f t="shared" si="0"/>
        <v>6410</v>
      </c>
      <c r="H14" s="323">
        <f>G14/G31</f>
        <v>0.20102236020948977</v>
      </c>
    </row>
    <row r="15" spans="1:8" ht="15" customHeight="1">
      <c r="A15" s="244">
        <v>8</v>
      </c>
      <c r="B15" s="404" t="s">
        <v>81</v>
      </c>
      <c r="C15" s="395">
        <v>0</v>
      </c>
      <c r="D15" s="192"/>
      <c r="E15" s="175">
        <v>3</v>
      </c>
      <c r="F15" s="179">
        <v>1006</v>
      </c>
      <c r="G15" s="317">
        <f t="shared" si="0"/>
        <v>1009</v>
      </c>
      <c r="H15" s="323">
        <f>G15/G31</f>
        <v>0.03164298930598677</v>
      </c>
    </row>
    <row r="16" spans="1:8" ht="25.5" customHeight="1">
      <c r="A16" s="244">
        <v>9</v>
      </c>
      <c r="B16" s="404" t="s">
        <v>82</v>
      </c>
      <c r="C16" s="394">
        <v>0</v>
      </c>
      <c r="D16" s="192"/>
      <c r="E16" s="193">
        <f>4+2806+16</f>
        <v>2826</v>
      </c>
      <c r="F16" s="193">
        <v>2754</v>
      </c>
      <c r="G16" s="317">
        <f t="shared" si="0"/>
        <v>5580</v>
      </c>
      <c r="H16" s="323">
        <f>G16/G31</f>
        <v>0.17499294383290998</v>
      </c>
    </row>
    <row r="17" spans="1:8" ht="15" customHeight="1">
      <c r="A17" s="244">
        <v>10</v>
      </c>
      <c r="B17" s="404" t="s">
        <v>83</v>
      </c>
      <c r="C17" s="394">
        <v>0</v>
      </c>
      <c r="D17" s="192"/>
      <c r="E17" s="193">
        <v>1</v>
      </c>
      <c r="F17" s="193">
        <v>407</v>
      </c>
      <c r="G17" s="316">
        <f t="shared" si="0"/>
        <v>408</v>
      </c>
      <c r="H17" s="323">
        <f>G17/G31</f>
        <v>0.012795182989933202</v>
      </c>
    </row>
    <row r="18" spans="1:8" ht="15" customHeight="1">
      <c r="A18" s="244">
        <v>11</v>
      </c>
      <c r="B18" s="404" t="s">
        <v>84</v>
      </c>
      <c r="C18" s="394">
        <v>0</v>
      </c>
      <c r="D18" s="192"/>
      <c r="E18" s="193">
        <v>0</v>
      </c>
      <c r="F18" s="179">
        <v>704</v>
      </c>
      <c r="G18" s="317">
        <f t="shared" si="0"/>
        <v>704</v>
      </c>
      <c r="H18" s="323">
        <f>G18/G31</f>
        <v>0.02207796280615925</v>
      </c>
    </row>
    <row r="19" spans="1:8" ht="15" customHeight="1">
      <c r="A19" s="244">
        <v>12</v>
      </c>
      <c r="B19" s="404" t="s">
        <v>85</v>
      </c>
      <c r="C19" s="394">
        <v>0</v>
      </c>
      <c r="D19" s="192"/>
      <c r="E19" s="193">
        <v>8</v>
      </c>
      <c r="F19" s="193">
        <v>171</v>
      </c>
      <c r="G19" s="316">
        <f t="shared" si="0"/>
        <v>179</v>
      </c>
      <c r="H19" s="323">
        <f>G19/G31</f>
        <v>0.005613572929406969</v>
      </c>
    </row>
    <row r="20" spans="1:8" ht="15" customHeight="1">
      <c r="A20" s="244">
        <v>13</v>
      </c>
      <c r="B20" s="404" t="s">
        <v>86</v>
      </c>
      <c r="C20" s="394">
        <v>0</v>
      </c>
      <c r="D20" s="192"/>
      <c r="E20" s="193">
        <v>0</v>
      </c>
      <c r="F20" s="193">
        <v>1063</v>
      </c>
      <c r="G20" s="316">
        <f t="shared" si="0"/>
        <v>1063</v>
      </c>
      <c r="H20" s="323">
        <f>G20/G31</f>
        <v>0.03333646940759557</v>
      </c>
    </row>
    <row r="21" spans="1:8" ht="15" customHeight="1">
      <c r="A21" s="244">
        <v>14</v>
      </c>
      <c r="B21" s="404" t="s">
        <v>87</v>
      </c>
      <c r="C21" s="394">
        <v>0</v>
      </c>
      <c r="D21" s="192"/>
      <c r="E21" s="193">
        <v>5</v>
      </c>
      <c r="F21" s="193">
        <v>779</v>
      </c>
      <c r="G21" s="316">
        <f t="shared" si="0"/>
        <v>784</v>
      </c>
      <c r="H21" s="323">
        <f>G21/G31</f>
        <v>0.024586822215950075</v>
      </c>
    </row>
    <row r="22" spans="1:8" ht="15" customHeight="1">
      <c r="A22" s="245">
        <v>15</v>
      </c>
      <c r="B22" s="404" t="s">
        <v>88</v>
      </c>
      <c r="C22" s="394">
        <v>0</v>
      </c>
      <c r="D22" s="192"/>
      <c r="E22" s="193">
        <v>0</v>
      </c>
      <c r="F22" s="193">
        <v>2767</v>
      </c>
      <c r="G22" s="316">
        <f t="shared" si="0"/>
        <v>2767</v>
      </c>
      <c r="H22" s="323">
        <f>G22/G31</f>
        <v>0.08677517483614013</v>
      </c>
    </row>
    <row r="23" spans="1:8" ht="15" customHeight="1">
      <c r="A23" s="244">
        <v>16</v>
      </c>
      <c r="B23" s="404" t="s">
        <v>89</v>
      </c>
      <c r="C23" s="394">
        <v>0</v>
      </c>
      <c r="D23" s="192"/>
      <c r="E23" s="193">
        <v>0</v>
      </c>
      <c r="F23" s="193">
        <v>418</v>
      </c>
      <c r="G23" s="317">
        <f t="shared" si="0"/>
        <v>418</v>
      </c>
      <c r="H23" s="323">
        <f>G23/G31</f>
        <v>0.013108790416157055</v>
      </c>
    </row>
    <row r="24" spans="1:8" ht="26.25" customHeight="1">
      <c r="A24" s="245">
        <v>17</v>
      </c>
      <c r="B24" s="404" t="s">
        <v>90</v>
      </c>
      <c r="C24" s="394">
        <v>0</v>
      </c>
      <c r="D24" s="192"/>
      <c r="E24" s="193">
        <v>0</v>
      </c>
      <c r="F24" s="193">
        <v>340</v>
      </c>
      <c r="G24" s="316">
        <f t="shared" si="0"/>
        <v>340</v>
      </c>
      <c r="H24" s="323">
        <f>G24/G31</f>
        <v>0.010662652491611002</v>
      </c>
    </row>
    <row r="25" spans="1:8" ht="15" customHeight="1">
      <c r="A25" s="244">
        <v>18</v>
      </c>
      <c r="B25" s="406" t="s">
        <v>91</v>
      </c>
      <c r="C25" s="394">
        <v>0</v>
      </c>
      <c r="D25" s="192"/>
      <c r="E25" s="193">
        <v>7</v>
      </c>
      <c r="F25" s="193">
        <v>394</v>
      </c>
      <c r="G25" s="316">
        <f t="shared" si="0"/>
        <v>401</v>
      </c>
      <c r="H25" s="323">
        <f>G25/G31</f>
        <v>0.012575657791576504</v>
      </c>
    </row>
    <row r="26" spans="1:8" ht="15" customHeight="1">
      <c r="A26" s="244">
        <v>19</v>
      </c>
      <c r="B26" s="406" t="s">
        <v>92</v>
      </c>
      <c r="C26" s="394">
        <v>0</v>
      </c>
      <c r="D26" s="192"/>
      <c r="E26" s="193">
        <v>11</v>
      </c>
      <c r="F26" s="193">
        <v>476</v>
      </c>
      <c r="G26" s="316">
        <f t="shared" si="0"/>
        <v>487</v>
      </c>
      <c r="H26" s="323">
        <f>G26/G31</f>
        <v>0.01527268165710164</v>
      </c>
    </row>
    <row r="27" spans="1:8" ht="37.5" customHeight="1">
      <c r="A27" s="245">
        <v>20</v>
      </c>
      <c r="B27" s="406" t="s">
        <v>93</v>
      </c>
      <c r="C27" s="394">
        <v>0</v>
      </c>
      <c r="D27" s="192"/>
      <c r="E27" s="193">
        <v>0</v>
      </c>
      <c r="F27" s="193">
        <v>50</v>
      </c>
      <c r="G27" s="316">
        <f t="shared" si="0"/>
        <v>50</v>
      </c>
      <c r="H27" s="323">
        <f>G27/G31</f>
        <v>0.001568037131119265</v>
      </c>
    </row>
    <row r="28" spans="1:8" ht="15" customHeight="1">
      <c r="A28" s="244">
        <v>21</v>
      </c>
      <c r="B28" s="406" t="s">
        <v>94</v>
      </c>
      <c r="C28" s="394">
        <v>0</v>
      </c>
      <c r="D28" s="192">
        <v>0</v>
      </c>
      <c r="E28" s="193">
        <v>0</v>
      </c>
      <c r="F28" s="193">
        <v>19</v>
      </c>
      <c r="G28" s="316">
        <f t="shared" si="0"/>
        <v>19</v>
      </c>
      <c r="H28" s="323">
        <f>G28/G31</f>
        <v>0.0005958541098253206</v>
      </c>
    </row>
    <row r="29" spans="1:8" ht="15" customHeight="1">
      <c r="A29" s="244">
        <v>22</v>
      </c>
      <c r="B29" s="407" t="s">
        <v>95</v>
      </c>
      <c r="C29" s="394">
        <v>0</v>
      </c>
      <c r="D29" s="192">
        <v>0</v>
      </c>
      <c r="E29" s="193">
        <v>0</v>
      </c>
      <c r="F29" s="193">
        <v>2627</v>
      </c>
      <c r="G29" s="316">
        <f t="shared" si="0"/>
        <v>2627</v>
      </c>
      <c r="H29" s="323">
        <f>G29/G31</f>
        <v>0.08238467086900618</v>
      </c>
    </row>
    <row r="30" spans="1:8" ht="15" customHeight="1" thickBot="1">
      <c r="A30" s="425">
        <v>23</v>
      </c>
      <c r="B30" s="408" t="s">
        <v>96</v>
      </c>
      <c r="C30" s="396">
        <v>0</v>
      </c>
      <c r="D30" s="196">
        <v>0</v>
      </c>
      <c r="E30" s="197">
        <v>0</v>
      </c>
      <c r="F30" s="193">
        <v>0</v>
      </c>
      <c r="G30" s="319">
        <v>0</v>
      </c>
      <c r="H30" s="435">
        <f>G30/G31</f>
        <v>0</v>
      </c>
    </row>
    <row r="31" spans="1:8" ht="15" customHeight="1" thickBot="1">
      <c r="A31" s="424"/>
      <c r="B31" s="410" t="s">
        <v>6</v>
      </c>
      <c r="C31" s="397">
        <f aca="true" t="shared" si="1" ref="C31:H31">SUM(C8:C30)</f>
        <v>58</v>
      </c>
      <c r="D31" s="198">
        <f t="shared" si="1"/>
        <v>0</v>
      </c>
      <c r="E31" s="198">
        <f t="shared" si="1"/>
        <v>2888</v>
      </c>
      <c r="F31" s="198">
        <f t="shared" si="1"/>
        <v>28941</v>
      </c>
      <c r="G31" s="199">
        <f t="shared" si="1"/>
        <v>31887</v>
      </c>
      <c r="H31" s="427">
        <f t="shared" si="1"/>
        <v>1.0000000000000002</v>
      </c>
    </row>
    <row r="32" spans="2:8" ht="12.75">
      <c r="B32" s="102"/>
      <c r="F32" s="253"/>
      <c r="G32" s="254"/>
      <c r="H32" s="23"/>
    </row>
    <row r="33" spans="1:8" ht="12.75">
      <c r="A33" s="75" t="s">
        <v>107</v>
      </c>
      <c r="B33" s="75"/>
      <c r="C33" s="75"/>
      <c r="D33" s="75"/>
      <c r="E33" s="211" t="s">
        <v>15</v>
      </c>
      <c r="F33" s="75"/>
      <c r="G33" s="253"/>
      <c r="H33" s="23"/>
    </row>
    <row r="34" spans="1:8" ht="12.75">
      <c r="A34" s="255"/>
      <c r="B34" s="76">
        <v>41438</v>
      </c>
      <c r="C34" s="255"/>
      <c r="D34" s="75"/>
      <c r="E34" s="211" t="s">
        <v>97</v>
      </c>
      <c r="F34" s="75"/>
      <c r="G34" s="253"/>
      <c r="H34" s="23"/>
    </row>
    <row r="35" ht="12.75">
      <c r="H35" s="23"/>
    </row>
    <row r="36" ht="12.75">
      <c r="H36" s="23"/>
    </row>
  </sheetData>
  <sheetProtection/>
  <mergeCells count="7">
    <mergeCell ref="H6:H7"/>
    <mergeCell ref="C5:H5"/>
    <mergeCell ref="A3:G3"/>
    <mergeCell ref="A4:D4"/>
    <mergeCell ref="C6:D6"/>
    <mergeCell ref="E6:F6"/>
    <mergeCell ref="G6:G7"/>
  </mergeCells>
  <printOptions/>
  <pageMargins left="0.31496062992125984" right="0.31496062992125984" top="0.35433070866141736" bottom="0.15748031496062992"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34"/>
  <sheetViews>
    <sheetView zoomScalePageLayoutView="0" workbookViewId="0" topLeftCell="B1">
      <selection activeCell="B27" sqref="B27"/>
    </sheetView>
  </sheetViews>
  <sheetFormatPr defaultColWidth="9.140625" defaultRowHeight="12.75"/>
  <cols>
    <col min="1" max="1" width="5.421875" style="0" customWidth="1"/>
    <col min="2" max="2" width="58.00390625" style="0" customWidth="1"/>
    <col min="3" max="6" width="12.7109375" style="0" customWidth="1"/>
    <col min="7" max="7" width="11.00390625" style="0" customWidth="1"/>
    <col min="8" max="8" width="13.28125" style="0" customWidth="1"/>
  </cols>
  <sheetData>
    <row r="1" ht="12.75">
      <c r="A1" s="43" t="s">
        <v>135</v>
      </c>
    </row>
    <row r="2" ht="12.75">
      <c r="A2" s="92"/>
    </row>
    <row r="3" spans="1:7" ht="31.5" customHeight="1">
      <c r="A3" s="601" t="s">
        <v>123</v>
      </c>
      <c r="B3" s="601"/>
      <c r="C3" s="601"/>
      <c r="D3" s="601"/>
      <c r="E3" s="601"/>
      <c r="F3" s="601"/>
      <c r="G3" s="601"/>
    </row>
    <row r="4" spans="1:4" ht="9.75" customHeight="1" thickBot="1">
      <c r="A4" s="586"/>
      <c r="B4" s="586"/>
      <c r="C4" s="586"/>
      <c r="D4" s="586"/>
    </row>
    <row r="5" spans="1:8" ht="11.25" customHeight="1">
      <c r="A5" s="398"/>
      <c r="B5" s="399"/>
      <c r="C5" s="590" t="s">
        <v>66</v>
      </c>
      <c r="D5" s="591"/>
      <c r="E5" s="591"/>
      <c r="F5" s="591"/>
      <c r="G5" s="591"/>
      <c r="H5" s="600"/>
    </row>
    <row r="6" spans="1:8" ht="15" customHeight="1">
      <c r="A6" s="400" t="s">
        <v>67</v>
      </c>
      <c r="B6" s="401" t="s">
        <v>68</v>
      </c>
      <c r="C6" s="592" t="s">
        <v>69</v>
      </c>
      <c r="D6" s="593"/>
      <c r="E6" s="594" t="s">
        <v>70</v>
      </c>
      <c r="F6" s="594"/>
      <c r="G6" s="595" t="s">
        <v>6</v>
      </c>
      <c r="H6" s="602" t="s">
        <v>144</v>
      </c>
    </row>
    <row r="7" spans="1:8" ht="23.25" customHeight="1" thickBot="1">
      <c r="A7" s="431"/>
      <c r="B7" s="431"/>
      <c r="C7" s="422" t="s">
        <v>71</v>
      </c>
      <c r="D7" s="318" t="s">
        <v>72</v>
      </c>
      <c r="E7" s="318" t="s">
        <v>72</v>
      </c>
      <c r="F7" s="318" t="s">
        <v>73</v>
      </c>
      <c r="G7" s="596"/>
      <c r="H7" s="603"/>
    </row>
    <row r="8" spans="1:8" ht="18.75" customHeight="1">
      <c r="A8" s="433">
        <v>1</v>
      </c>
      <c r="B8" s="434" t="s">
        <v>74</v>
      </c>
      <c r="C8" s="420">
        <v>0</v>
      </c>
      <c r="D8" s="240">
        <v>0</v>
      </c>
      <c r="E8" s="265">
        <v>0</v>
      </c>
      <c r="F8" s="265">
        <v>157</v>
      </c>
      <c r="G8" s="237">
        <f>SUM(C8+D8+E8+F8)</f>
        <v>157</v>
      </c>
      <c r="H8" s="322">
        <f>G8/G31</f>
        <v>0.005610950287695222</v>
      </c>
    </row>
    <row r="9" spans="1:8" ht="15" customHeight="1">
      <c r="A9" s="403">
        <v>2</v>
      </c>
      <c r="B9" s="404" t="s">
        <v>75</v>
      </c>
      <c r="C9" s="394">
        <v>0</v>
      </c>
      <c r="D9" s="192">
        <v>0</v>
      </c>
      <c r="E9" s="193">
        <v>0</v>
      </c>
      <c r="F9" s="193">
        <v>74</v>
      </c>
      <c r="G9" s="316">
        <f>SUM(C9+D9+E9+F9)</f>
        <v>74</v>
      </c>
      <c r="H9" s="323">
        <f>G9/G31</f>
        <v>0.0026446517279582575</v>
      </c>
    </row>
    <row r="10" spans="1:8" ht="15" customHeight="1">
      <c r="A10" s="403">
        <v>3</v>
      </c>
      <c r="B10" s="404" t="s">
        <v>76</v>
      </c>
      <c r="C10" s="394">
        <v>27</v>
      </c>
      <c r="D10" s="192">
        <v>0</v>
      </c>
      <c r="E10" s="193">
        <v>0</v>
      </c>
      <c r="F10" s="193">
        <v>3092</v>
      </c>
      <c r="G10" s="316">
        <f aca="true" t="shared" si="0" ref="G10:G30">SUM(C10+D10+E10+F10)</f>
        <v>3119</v>
      </c>
      <c r="H10" s="323">
        <f>G10/G31</f>
        <v>0.11146849647975413</v>
      </c>
    </row>
    <row r="11" spans="1:8" ht="15" customHeight="1">
      <c r="A11" s="403">
        <v>4</v>
      </c>
      <c r="B11" s="404" t="s">
        <v>77</v>
      </c>
      <c r="C11" s="395">
        <v>0</v>
      </c>
      <c r="D11" s="194">
        <v>0</v>
      </c>
      <c r="E11" s="195">
        <v>0</v>
      </c>
      <c r="F11" s="179">
        <v>18</v>
      </c>
      <c r="G11" s="317">
        <f t="shared" si="0"/>
        <v>18</v>
      </c>
      <c r="H11" s="323">
        <f>G11/G31</f>
        <v>0.000643293663557414</v>
      </c>
    </row>
    <row r="12" spans="1:8" ht="24.75" customHeight="1">
      <c r="A12" s="403">
        <v>5</v>
      </c>
      <c r="B12" s="404" t="s">
        <v>78</v>
      </c>
      <c r="C12" s="394">
        <v>0</v>
      </c>
      <c r="D12" s="192">
        <v>0</v>
      </c>
      <c r="E12" s="193">
        <v>0</v>
      </c>
      <c r="F12" s="193">
        <v>22</v>
      </c>
      <c r="G12" s="317">
        <f t="shared" si="0"/>
        <v>22</v>
      </c>
      <c r="H12" s="323">
        <f>G12/G31</f>
        <v>0.000786247811014617</v>
      </c>
    </row>
    <row r="13" spans="1:8" ht="15" customHeight="1">
      <c r="A13" s="403">
        <v>6</v>
      </c>
      <c r="B13" s="404" t="s">
        <v>79</v>
      </c>
      <c r="C13" s="395">
        <v>0</v>
      </c>
      <c r="D13" s="192"/>
      <c r="E13" s="179">
        <v>6</v>
      </c>
      <c r="F13" s="179">
        <v>5028</v>
      </c>
      <c r="G13" s="317">
        <f t="shared" si="0"/>
        <v>5034</v>
      </c>
      <c r="H13" s="323">
        <f>G13/G31</f>
        <v>0.17990779457489012</v>
      </c>
    </row>
    <row r="14" spans="1:8" ht="26.25" customHeight="1">
      <c r="A14" s="403">
        <v>7</v>
      </c>
      <c r="B14" s="404" t="s">
        <v>80</v>
      </c>
      <c r="C14" s="395">
        <v>0</v>
      </c>
      <c r="D14" s="192"/>
      <c r="E14" s="179">
        <v>12</v>
      </c>
      <c r="F14" s="179">
        <v>6133</v>
      </c>
      <c r="G14" s="317">
        <f t="shared" si="0"/>
        <v>6145</v>
      </c>
      <c r="H14" s="323">
        <f>G14/G31</f>
        <v>0.21961330903112827</v>
      </c>
    </row>
    <row r="15" spans="1:8" ht="15" customHeight="1">
      <c r="A15" s="403">
        <v>8</v>
      </c>
      <c r="B15" s="404" t="s">
        <v>81</v>
      </c>
      <c r="C15" s="395">
        <v>0</v>
      </c>
      <c r="D15" s="192"/>
      <c r="E15" s="175">
        <v>3</v>
      </c>
      <c r="F15" s="179">
        <v>747</v>
      </c>
      <c r="G15" s="317">
        <f t="shared" si="0"/>
        <v>750</v>
      </c>
      <c r="H15" s="323">
        <f>G15/G31</f>
        <v>0.026803902648225582</v>
      </c>
    </row>
    <row r="16" spans="1:8" ht="15" customHeight="1">
      <c r="A16" s="403">
        <v>9</v>
      </c>
      <c r="B16" s="404" t="s">
        <v>82</v>
      </c>
      <c r="C16" s="394">
        <v>0</v>
      </c>
      <c r="D16" s="192"/>
      <c r="E16" s="193">
        <v>1070</v>
      </c>
      <c r="F16" s="193">
        <v>1820</v>
      </c>
      <c r="G16" s="317">
        <f t="shared" si="0"/>
        <v>2890</v>
      </c>
      <c r="H16" s="323">
        <f>G16/G31</f>
        <v>0.10328437153782924</v>
      </c>
    </row>
    <row r="17" spans="1:8" ht="15" customHeight="1">
      <c r="A17" s="403">
        <v>10</v>
      </c>
      <c r="B17" s="404" t="s">
        <v>83</v>
      </c>
      <c r="C17" s="394">
        <v>0</v>
      </c>
      <c r="D17" s="192"/>
      <c r="E17" s="193">
        <v>0</v>
      </c>
      <c r="F17" s="193">
        <v>431</v>
      </c>
      <c r="G17" s="316">
        <f t="shared" si="0"/>
        <v>431</v>
      </c>
      <c r="H17" s="323">
        <f>G17/G31</f>
        <v>0.015403309388513635</v>
      </c>
    </row>
    <row r="18" spans="1:8" ht="15" customHeight="1">
      <c r="A18" s="403">
        <v>11</v>
      </c>
      <c r="B18" s="404" t="s">
        <v>84</v>
      </c>
      <c r="C18" s="394">
        <v>0</v>
      </c>
      <c r="D18" s="192"/>
      <c r="E18" s="193">
        <v>0</v>
      </c>
      <c r="F18" s="179">
        <v>699</v>
      </c>
      <c r="G18" s="317">
        <f t="shared" si="0"/>
        <v>699</v>
      </c>
      <c r="H18" s="323">
        <f>G18/G31</f>
        <v>0.02498123726814624</v>
      </c>
    </row>
    <row r="19" spans="1:8" ht="15" customHeight="1">
      <c r="A19" s="403">
        <v>12</v>
      </c>
      <c r="B19" s="404" t="s">
        <v>85</v>
      </c>
      <c r="C19" s="394">
        <v>0</v>
      </c>
      <c r="D19" s="192"/>
      <c r="E19" s="193">
        <v>3</v>
      </c>
      <c r="F19" s="193">
        <v>174</v>
      </c>
      <c r="G19" s="316">
        <f t="shared" si="0"/>
        <v>177</v>
      </c>
      <c r="H19" s="323">
        <f>G19/G31</f>
        <v>0.006325721024981237</v>
      </c>
    </row>
    <row r="20" spans="1:8" ht="15" customHeight="1">
      <c r="A20" s="403">
        <v>13</v>
      </c>
      <c r="B20" s="404" t="s">
        <v>86</v>
      </c>
      <c r="C20" s="394">
        <v>0</v>
      </c>
      <c r="D20" s="192"/>
      <c r="E20" s="193">
        <v>0</v>
      </c>
      <c r="F20" s="193">
        <v>1139</v>
      </c>
      <c r="G20" s="316">
        <f t="shared" si="0"/>
        <v>1139</v>
      </c>
      <c r="H20" s="323">
        <f>G20/G31</f>
        <v>0.04070619348843858</v>
      </c>
    </row>
    <row r="21" spans="1:8" ht="15" customHeight="1">
      <c r="A21" s="403">
        <v>14</v>
      </c>
      <c r="B21" s="404" t="s">
        <v>87</v>
      </c>
      <c r="C21" s="394">
        <v>0</v>
      </c>
      <c r="D21" s="192"/>
      <c r="E21" s="193">
        <v>1</v>
      </c>
      <c r="F21" s="193">
        <v>593</v>
      </c>
      <c r="G21" s="316">
        <f t="shared" si="0"/>
        <v>594</v>
      </c>
      <c r="H21" s="323">
        <f>G21/G31</f>
        <v>0.02122869089739466</v>
      </c>
    </row>
    <row r="22" spans="1:8" ht="15" customHeight="1">
      <c r="A22" s="405">
        <v>15</v>
      </c>
      <c r="B22" s="404" t="s">
        <v>88</v>
      </c>
      <c r="C22" s="394">
        <v>0</v>
      </c>
      <c r="D22" s="192"/>
      <c r="E22" s="193">
        <v>0</v>
      </c>
      <c r="F22" s="193">
        <v>2652</v>
      </c>
      <c r="G22" s="316">
        <f t="shared" si="0"/>
        <v>2652</v>
      </c>
      <c r="H22" s="323">
        <f>G22/G31</f>
        <v>0.09477859976412566</v>
      </c>
    </row>
    <row r="23" spans="1:8" ht="15" customHeight="1">
      <c r="A23" s="403">
        <v>16</v>
      </c>
      <c r="B23" s="404" t="s">
        <v>89</v>
      </c>
      <c r="C23" s="394">
        <v>0</v>
      </c>
      <c r="D23" s="192"/>
      <c r="E23" s="193">
        <v>0</v>
      </c>
      <c r="F23" s="193">
        <v>506</v>
      </c>
      <c r="G23" s="317">
        <f t="shared" si="0"/>
        <v>506</v>
      </c>
      <c r="H23" s="323">
        <f>G23/G31</f>
        <v>0.018083699653336192</v>
      </c>
    </row>
    <row r="24" spans="1:8" ht="24.75" customHeight="1">
      <c r="A24" s="405">
        <v>17</v>
      </c>
      <c r="B24" s="404" t="s">
        <v>90</v>
      </c>
      <c r="C24" s="394">
        <v>0</v>
      </c>
      <c r="D24" s="192"/>
      <c r="E24" s="193">
        <v>0</v>
      </c>
      <c r="F24" s="193">
        <v>324</v>
      </c>
      <c r="G24" s="316">
        <f t="shared" si="0"/>
        <v>324</v>
      </c>
      <c r="H24" s="323">
        <f>G24/G31</f>
        <v>0.011579285944033452</v>
      </c>
    </row>
    <row r="25" spans="1:8" ht="15" customHeight="1">
      <c r="A25" s="403">
        <v>18</v>
      </c>
      <c r="B25" s="406" t="s">
        <v>91</v>
      </c>
      <c r="C25" s="394">
        <v>0</v>
      </c>
      <c r="D25" s="192"/>
      <c r="E25" s="193">
        <v>4</v>
      </c>
      <c r="F25" s="193">
        <v>313</v>
      </c>
      <c r="G25" s="316">
        <f t="shared" si="0"/>
        <v>317</v>
      </c>
      <c r="H25" s="323">
        <f>G25/G31</f>
        <v>0.011329116185983345</v>
      </c>
    </row>
    <row r="26" spans="1:8" ht="15" customHeight="1">
      <c r="A26" s="403">
        <v>19</v>
      </c>
      <c r="B26" s="406" t="s">
        <v>92</v>
      </c>
      <c r="C26" s="394">
        <v>0</v>
      </c>
      <c r="D26" s="192"/>
      <c r="E26" s="193">
        <v>5</v>
      </c>
      <c r="F26" s="193">
        <v>398</v>
      </c>
      <c r="G26" s="316">
        <f t="shared" si="0"/>
        <v>403</v>
      </c>
      <c r="H26" s="323">
        <f>G26/G31</f>
        <v>0.014402630356313213</v>
      </c>
    </row>
    <row r="27" spans="1:8" ht="38.25" customHeight="1">
      <c r="A27" s="405">
        <v>20</v>
      </c>
      <c r="B27" s="406" t="s">
        <v>93</v>
      </c>
      <c r="C27" s="394">
        <v>0</v>
      </c>
      <c r="D27" s="192"/>
      <c r="E27" s="193">
        <v>0</v>
      </c>
      <c r="F27" s="193">
        <v>45</v>
      </c>
      <c r="G27" s="316">
        <f t="shared" si="0"/>
        <v>45</v>
      </c>
      <c r="H27" s="323">
        <f>G27/G31</f>
        <v>0.0016082341588935349</v>
      </c>
    </row>
    <row r="28" spans="1:8" ht="15.75" customHeight="1">
      <c r="A28" s="403">
        <v>21</v>
      </c>
      <c r="B28" s="406" t="s">
        <v>94</v>
      </c>
      <c r="C28" s="394">
        <v>0</v>
      </c>
      <c r="D28" s="192">
        <v>0</v>
      </c>
      <c r="E28" s="193">
        <v>0</v>
      </c>
      <c r="F28" s="193">
        <v>18</v>
      </c>
      <c r="G28" s="316">
        <f t="shared" si="0"/>
        <v>18</v>
      </c>
      <c r="H28" s="323">
        <f>G28/G31</f>
        <v>0.000643293663557414</v>
      </c>
    </row>
    <row r="29" spans="1:8" ht="12.75">
      <c r="A29" s="403">
        <v>22</v>
      </c>
      <c r="B29" s="407" t="s">
        <v>95</v>
      </c>
      <c r="C29" s="394">
        <v>0</v>
      </c>
      <c r="D29" s="192">
        <v>0</v>
      </c>
      <c r="E29" s="193">
        <v>0</v>
      </c>
      <c r="F29" s="193">
        <v>2449</v>
      </c>
      <c r="G29" s="316">
        <f t="shared" si="0"/>
        <v>2449</v>
      </c>
      <c r="H29" s="323">
        <f>G29/G31</f>
        <v>0.0875236767806726</v>
      </c>
    </row>
    <row r="30" spans="1:8" ht="13.5" thickBot="1">
      <c r="A30" s="423">
        <v>23</v>
      </c>
      <c r="B30" s="408" t="s">
        <v>96</v>
      </c>
      <c r="C30" s="396">
        <v>0</v>
      </c>
      <c r="D30" s="196">
        <v>0</v>
      </c>
      <c r="E30" s="197">
        <v>0</v>
      </c>
      <c r="F30" s="193">
        <v>18</v>
      </c>
      <c r="G30" s="316">
        <f t="shared" si="0"/>
        <v>18</v>
      </c>
      <c r="H30" s="435">
        <f>G30/G31</f>
        <v>0.000643293663557414</v>
      </c>
    </row>
    <row r="31" spans="1:8" ht="13.5" thickBot="1">
      <c r="A31" s="424"/>
      <c r="B31" s="410" t="s">
        <v>6</v>
      </c>
      <c r="C31" s="397">
        <f aca="true" t="shared" si="1" ref="C31:H31">SUM(C8:C30)</f>
        <v>27</v>
      </c>
      <c r="D31" s="198">
        <f t="shared" si="1"/>
        <v>0</v>
      </c>
      <c r="E31" s="198">
        <f t="shared" si="1"/>
        <v>1104</v>
      </c>
      <c r="F31" s="198">
        <f t="shared" si="1"/>
        <v>26850</v>
      </c>
      <c r="G31" s="199">
        <f t="shared" si="1"/>
        <v>27981</v>
      </c>
      <c r="H31" s="427">
        <f t="shared" si="1"/>
        <v>1</v>
      </c>
    </row>
    <row r="32" spans="2:7" ht="12.75">
      <c r="B32" s="102"/>
      <c r="F32" s="253"/>
      <c r="G32" s="254"/>
    </row>
    <row r="33" spans="1:7" ht="12.75">
      <c r="A33" s="75" t="s">
        <v>107</v>
      </c>
      <c r="B33" s="75"/>
      <c r="C33" s="75"/>
      <c r="D33" s="75"/>
      <c r="E33" s="211" t="s">
        <v>15</v>
      </c>
      <c r="F33" s="75"/>
      <c r="G33" s="253"/>
    </row>
    <row r="34" spans="1:7" ht="12.75">
      <c r="A34" s="255"/>
      <c r="B34" s="76">
        <v>41468</v>
      </c>
      <c r="C34" s="255"/>
      <c r="D34" s="75"/>
      <c r="E34" s="211" t="s">
        <v>97</v>
      </c>
      <c r="F34" s="75"/>
      <c r="G34" s="253"/>
    </row>
  </sheetData>
  <sheetProtection/>
  <mergeCells count="7">
    <mergeCell ref="H6:H7"/>
    <mergeCell ref="C5:H5"/>
    <mergeCell ref="A3:G3"/>
    <mergeCell ref="A4:D4"/>
    <mergeCell ref="C6:D6"/>
    <mergeCell ref="E6:F6"/>
    <mergeCell ref="G6:G7"/>
  </mergeCells>
  <printOptions/>
  <pageMargins left="0.31496062992125984" right="0.31496062992125984" top="0.35433070866141736" bottom="0.15748031496062992"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H34"/>
  <sheetViews>
    <sheetView zoomScalePageLayoutView="0" workbookViewId="0" topLeftCell="A9">
      <selection activeCell="C26" sqref="C26"/>
    </sheetView>
  </sheetViews>
  <sheetFormatPr defaultColWidth="9.140625" defaultRowHeight="12.75"/>
  <cols>
    <col min="1" max="1" width="5.421875" style="0" customWidth="1"/>
    <col min="2" max="2" width="53.8515625" style="0" customWidth="1"/>
    <col min="3" max="3" width="12.28125" style="0" customWidth="1"/>
    <col min="4" max="4" width="12.421875" style="0" customWidth="1"/>
    <col min="5" max="7" width="12.7109375" style="0" customWidth="1"/>
    <col min="8" max="8" width="12.00390625" style="0" customWidth="1"/>
  </cols>
  <sheetData>
    <row r="1" spans="1:2" ht="12.75">
      <c r="A1" s="287" t="s">
        <v>130</v>
      </c>
      <c r="B1" s="43"/>
    </row>
    <row r="2" spans="1:7" ht="28.5" customHeight="1">
      <c r="A2" s="579" t="s">
        <v>124</v>
      </c>
      <c r="B2" s="579"/>
      <c r="C2" s="579"/>
      <c r="D2" s="579"/>
      <c r="E2" s="579"/>
      <c r="F2" s="579"/>
      <c r="G2" s="579"/>
    </row>
    <row r="3" spans="1:3" ht="16.5" thickBot="1">
      <c r="A3" s="586"/>
      <c r="B3" s="586"/>
      <c r="C3" s="586"/>
    </row>
    <row r="4" spans="1:8" ht="16.5" customHeight="1">
      <c r="A4" s="398"/>
      <c r="B4" s="399"/>
      <c r="C4" s="590" t="s">
        <v>66</v>
      </c>
      <c r="D4" s="591"/>
      <c r="E4" s="591"/>
      <c r="F4" s="591"/>
      <c r="G4" s="591"/>
      <c r="H4" s="600"/>
    </row>
    <row r="5" spans="1:8" ht="16.5" customHeight="1">
      <c r="A5" s="400" t="s">
        <v>67</v>
      </c>
      <c r="B5" s="401" t="s">
        <v>68</v>
      </c>
      <c r="C5" s="592" t="s">
        <v>69</v>
      </c>
      <c r="D5" s="593"/>
      <c r="E5" s="594" t="s">
        <v>70</v>
      </c>
      <c r="F5" s="594"/>
      <c r="G5" s="595" t="s">
        <v>6</v>
      </c>
      <c r="H5" s="602" t="s">
        <v>144</v>
      </c>
    </row>
    <row r="6" spans="1:8" ht="24.75" customHeight="1" thickBot="1">
      <c r="A6" s="431"/>
      <c r="B6" s="431"/>
      <c r="C6" s="422" t="s">
        <v>71</v>
      </c>
      <c r="D6" s="318" t="s">
        <v>72</v>
      </c>
      <c r="E6" s="318" t="s">
        <v>72</v>
      </c>
      <c r="F6" s="318" t="s">
        <v>73</v>
      </c>
      <c r="G6" s="596"/>
      <c r="H6" s="603"/>
    </row>
    <row r="7" spans="1:8" ht="15" customHeight="1">
      <c r="A7" s="436">
        <v>1</v>
      </c>
      <c r="B7" s="429" t="s">
        <v>74</v>
      </c>
      <c r="C7" s="420">
        <v>0</v>
      </c>
      <c r="D7" s="240">
        <v>0</v>
      </c>
      <c r="E7" s="265">
        <v>0</v>
      </c>
      <c r="F7" s="265">
        <v>156</v>
      </c>
      <c r="G7" s="240">
        <f>SUM(C7+D7+E7+F7)</f>
        <v>156</v>
      </c>
      <c r="H7" s="439">
        <f>G7/G30</f>
        <v>0.005514316012725344</v>
      </c>
    </row>
    <row r="8" spans="1:8" ht="15" customHeight="1">
      <c r="A8" s="403">
        <v>2</v>
      </c>
      <c r="B8" s="404" t="s">
        <v>75</v>
      </c>
      <c r="C8" s="394">
        <v>0</v>
      </c>
      <c r="D8" s="192">
        <v>0</v>
      </c>
      <c r="E8" s="193">
        <v>0</v>
      </c>
      <c r="F8" s="193">
        <v>80</v>
      </c>
      <c r="G8" s="192">
        <f>SUM(C8+D8+E8+F8)</f>
        <v>80</v>
      </c>
      <c r="H8" s="323">
        <f>G8/G30</f>
        <v>0.002827854365500177</v>
      </c>
    </row>
    <row r="9" spans="1:8" ht="15" customHeight="1">
      <c r="A9" s="403">
        <v>3</v>
      </c>
      <c r="B9" s="404" t="s">
        <v>76</v>
      </c>
      <c r="C9" s="394">
        <v>12</v>
      </c>
      <c r="D9" s="192">
        <v>0</v>
      </c>
      <c r="E9" s="193">
        <v>0</v>
      </c>
      <c r="F9" s="193">
        <v>3071</v>
      </c>
      <c r="G9" s="192">
        <f aca="true" t="shared" si="0" ref="G9:G29">SUM(C9+D9+E9+F9)</f>
        <v>3083</v>
      </c>
      <c r="H9" s="323">
        <f>G9/G30</f>
        <v>0.10897843761046307</v>
      </c>
    </row>
    <row r="10" spans="1:8" ht="15" customHeight="1">
      <c r="A10" s="403">
        <v>4</v>
      </c>
      <c r="B10" s="404" t="s">
        <v>77</v>
      </c>
      <c r="C10" s="395">
        <v>0</v>
      </c>
      <c r="D10" s="194">
        <v>0</v>
      </c>
      <c r="E10" s="195">
        <v>0</v>
      </c>
      <c r="F10" s="179">
        <v>22</v>
      </c>
      <c r="G10" s="175">
        <f t="shared" si="0"/>
        <v>22</v>
      </c>
      <c r="H10" s="323">
        <f>G10/G30</f>
        <v>0.0007776599505125487</v>
      </c>
    </row>
    <row r="11" spans="1:8" ht="24.75" customHeight="1">
      <c r="A11" s="403">
        <v>5</v>
      </c>
      <c r="B11" s="404" t="s">
        <v>78</v>
      </c>
      <c r="C11" s="394">
        <v>0</v>
      </c>
      <c r="D11" s="192">
        <v>0</v>
      </c>
      <c r="E11" s="193">
        <v>0</v>
      </c>
      <c r="F11" s="193">
        <v>18</v>
      </c>
      <c r="G11" s="175">
        <f t="shared" si="0"/>
        <v>18</v>
      </c>
      <c r="H11" s="323">
        <f>G11/G30</f>
        <v>0.0006362672322375398</v>
      </c>
    </row>
    <row r="12" spans="1:8" ht="15" customHeight="1">
      <c r="A12" s="403">
        <v>6</v>
      </c>
      <c r="B12" s="404" t="s">
        <v>79</v>
      </c>
      <c r="C12" s="395">
        <v>0</v>
      </c>
      <c r="D12" s="175">
        <v>0</v>
      </c>
      <c r="E12" s="179">
        <v>0</v>
      </c>
      <c r="F12" s="179">
        <v>4978</v>
      </c>
      <c r="G12" s="175">
        <f t="shared" si="0"/>
        <v>4978</v>
      </c>
      <c r="H12" s="323">
        <f>G12/G30</f>
        <v>0.1759632378932485</v>
      </c>
    </row>
    <row r="13" spans="1:8" ht="15" customHeight="1">
      <c r="A13" s="403">
        <v>7</v>
      </c>
      <c r="B13" s="404" t="s">
        <v>80</v>
      </c>
      <c r="C13" s="395">
        <v>0</v>
      </c>
      <c r="D13" s="175">
        <v>0</v>
      </c>
      <c r="E13" s="179">
        <v>0</v>
      </c>
      <c r="F13" s="179">
        <v>5965</v>
      </c>
      <c r="G13" s="317">
        <f t="shared" si="0"/>
        <v>5965</v>
      </c>
      <c r="H13" s="323">
        <f>G13/G30</f>
        <v>0.21085189112760694</v>
      </c>
    </row>
    <row r="14" spans="1:8" ht="15" customHeight="1">
      <c r="A14" s="403">
        <v>8</v>
      </c>
      <c r="B14" s="404" t="s">
        <v>81</v>
      </c>
      <c r="C14" s="395">
        <v>0</v>
      </c>
      <c r="D14" s="175">
        <v>0</v>
      </c>
      <c r="E14" s="175">
        <v>0</v>
      </c>
      <c r="F14" s="179">
        <v>645</v>
      </c>
      <c r="G14" s="317">
        <f t="shared" si="0"/>
        <v>645</v>
      </c>
      <c r="H14" s="323">
        <f>G14/G30</f>
        <v>0.022799575821845174</v>
      </c>
    </row>
    <row r="15" spans="1:8" ht="15" customHeight="1">
      <c r="A15" s="403">
        <v>9</v>
      </c>
      <c r="B15" s="404" t="s">
        <v>82</v>
      </c>
      <c r="C15" s="394">
        <v>0</v>
      </c>
      <c r="D15" s="192">
        <v>0</v>
      </c>
      <c r="E15" s="175">
        <v>519</v>
      </c>
      <c r="F15" s="193">
        <v>1473</v>
      </c>
      <c r="G15" s="317">
        <f t="shared" si="0"/>
        <v>1992</v>
      </c>
      <c r="H15" s="323">
        <f>G15/G30</f>
        <v>0.0704135737009544</v>
      </c>
    </row>
    <row r="16" spans="1:8" ht="15" customHeight="1">
      <c r="A16" s="403">
        <v>10</v>
      </c>
      <c r="B16" s="404" t="s">
        <v>83</v>
      </c>
      <c r="C16" s="394">
        <v>0</v>
      </c>
      <c r="D16" s="192">
        <v>0</v>
      </c>
      <c r="E16" s="193">
        <v>0</v>
      </c>
      <c r="F16" s="193">
        <v>486</v>
      </c>
      <c r="G16" s="316">
        <f t="shared" si="0"/>
        <v>486</v>
      </c>
      <c r="H16" s="323">
        <f>G16/G30</f>
        <v>0.017179215270413575</v>
      </c>
    </row>
    <row r="17" spans="1:8" ht="15" customHeight="1">
      <c r="A17" s="403">
        <v>11</v>
      </c>
      <c r="B17" s="404" t="s">
        <v>84</v>
      </c>
      <c r="C17" s="394">
        <v>0</v>
      </c>
      <c r="D17" s="192">
        <v>0</v>
      </c>
      <c r="E17" s="193">
        <v>0</v>
      </c>
      <c r="F17" s="179">
        <v>668</v>
      </c>
      <c r="G17" s="317">
        <f t="shared" si="0"/>
        <v>668</v>
      </c>
      <c r="H17" s="323">
        <f>G17/G30</f>
        <v>0.023612583951926475</v>
      </c>
    </row>
    <row r="18" spans="1:8" ht="15" customHeight="1">
      <c r="A18" s="403">
        <v>12</v>
      </c>
      <c r="B18" s="404" t="s">
        <v>85</v>
      </c>
      <c r="C18" s="394">
        <v>0</v>
      </c>
      <c r="D18" s="192">
        <v>0</v>
      </c>
      <c r="E18" s="193"/>
      <c r="F18" s="193">
        <v>163</v>
      </c>
      <c r="G18" s="316">
        <f t="shared" si="0"/>
        <v>163</v>
      </c>
      <c r="H18" s="323">
        <f>G18/G30</f>
        <v>0.00576175326970661</v>
      </c>
    </row>
    <row r="19" spans="1:8" ht="15" customHeight="1">
      <c r="A19" s="403">
        <v>13</v>
      </c>
      <c r="B19" s="404" t="s">
        <v>86</v>
      </c>
      <c r="C19" s="394">
        <v>0</v>
      </c>
      <c r="D19" s="192">
        <v>0</v>
      </c>
      <c r="E19" s="193">
        <v>0</v>
      </c>
      <c r="F19" s="193">
        <v>1218</v>
      </c>
      <c r="G19" s="316">
        <f t="shared" si="0"/>
        <v>1218</v>
      </c>
      <c r="H19" s="323">
        <f>G19/G30</f>
        <v>0.04305408271474019</v>
      </c>
    </row>
    <row r="20" spans="1:8" ht="15" customHeight="1">
      <c r="A20" s="403">
        <v>14</v>
      </c>
      <c r="B20" s="404" t="s">
        <v>87</v>
      </c>
      <c r="C20" s="394">
        <v>0</v>
      </c>
      <c r="D20" s="192">
        <v>0</v>
      </c>
      <c r="E20" s="193">
        <v>0</v>
      </c>
      <c r="F20" s="193">
        <v>545</v>
      </c>
      <c r="G20" s="316">
        <f t="shared" si="0"/>
        <v>545</v>
      </c>
      <c r="H20" s="323">
        <f>G20/G30</f>
        <v>0.019264757864969954</v>
      </c>
    </row>
    <row r="21" spans="1:8" ht="15" customHeight="1">
      <c r="A21" s="405">
        <v>15</v>
      </c>
      <c r="B21" s="404" t="s">
        <v>88</v>
      </c>
      <c r="C21" s="394">
        <v>0</v>
      </c>
      <c r="D21" s="192">
        <v>0</v>
      </c>
      <c r="E21" s="193">
        <v>0</v>
      </c>
      <c r="F21" s="193">
        <v>2651</v>
      </c>
      <c r="G21" s="316">
        <f t="shared" si="0"/>
        <v>2651</v>
      </c>
      <c r="H21" s="323">
        <f>G21/G30</f>
        <v>0.09370802403676211</v>
      </c>
    </row>
    <row r="22" spans="1:8" ht="15" customHeight="1">
      <c r="A22" s="403">
        <v>16</v>
      </c>
      <c r="B22" s="404" t="s">
        <v>89</v>
      </c>
      <c r="C22" s="394">
        <v>0</v>
      </c>
      <c r="D22" s="192">
        <v>0</v>
      </c>
      <c r="E22" s="193">
        <v>0</v>
      </c>
      <c r="F22" s="193">
        <v>2214</v>
      </c>
      <c r="G22" s="317">
        <f t="shared" si="0"/>
        <v>2214</v>
      </c>
      <c r="H22" s="323">
        <f>G22/G30</f>
        <v>0.0782608695652174</v>
      </c>
    </row>
    <row r="23" spans="1:8" ht="24" customHeight="1">
      <c r="A23" s="405">
        <v>17</v>
      </c>
      <c r="B23" s="404" t="s">
        <v>90</v>
      </c>
      <c r="C23" s="394">
        <v>0</v>
      </c>
      <c r="D23" s="192">
        <v>0</v>
      </c>
      <c r="E23" s="193">
        <v>0</v>
      </c>
      <c r="F23" s="193">
        <v>327</v>
      </c>
      <c r="G23" s="316">
        <f t="shared" si="0"/>
        <v>327</v>
      </c>
      <c r="H23" s="323">
        <f>G23/G30</f>
        <v>0.011558854718981973</v>
      </c>
    </row>
    <row r="24" spans="1:8" ht="15" customHeight="1" thickBot="1">
      <c r="A24" s="403">
        <v>18</v>
      </c>
      <c r="B24" s="437" t="s">
        <v>91</v>
      </c>
      <c r="C24" s="394">
        <v>0</v>
      </c>
      <c r="D24" s="192">
        <v>0</v>
      </c>
      <c r="E24" s="193">
        <v>5</v>
      </c>
      <c r="F24" s="193">
        <v>280</v>
      </c>
      <c r="G24" s="316">
        <f t="shared" si="0"/>
        <v>285</v>
      </c>
      <c r="H24" s="323">
        <f>G24/G30</f>
        <v>0.01007423117709438</v>
      </c>
    </row>
    <row r="25" spans="1:8" ht="15" customHeight="1" thickBot="1">
      <c r="A25" s="403">
        <v>19</v>
      </c>
      <c r="B25" s="432" t="s">
        <v>92</v>
      </c>
      <c r="C25" s="394">
        <v>0</v>
      </c>
      <c r="D25" s="192">
        <v>0</v>
      </c>
      <c r="E25" s="193">
        <v>4</v>
      </c>
      <c r="F25" s="193">
        <v>467</v>
      </c>
      <c r="G25" s="316">
        <f t="shared" si="0"/>
        <v>471</v>
      </c>
      <c r="H25" s="323">
        <f>G25/G30</f>
        <v>0.01664899257688229</v>
      </c>
    </row>
    <row r="26" spans="1:8" ht="38.25" customHeight="1">
      <c r="A26" s="405">
        <v>20</v>
      </c>
      <c r="B26" s="438" t="s">
        <v>93</v>
      </c>
      <c r="C26" s="394">
        <v>0</v>
      </c>
      <c r="D26" s="192">
        <v>0</v>
      </c>
      <c r="E26" s="193">
        <v>0</v>
      </c>
      <c r="F26" s="193">
        <v>48</v>
      </c>
      <c r="G26" s="319">
        <f t="shared" si="0"/>
        <v>48</v>
      </c>
      <c r="H26" s="323">
        <f>G26/G30</f>
        <v>0.001696712619300106</v>
      </c>
    </row>
    <row r="27" spans="1:8" ht="15" customHeight="1">
      <c r="A27" s="403">
        <v>21</v>
      </c>
      <c r="B27" s="406" t="s">
        <v>94</v>
      </c>
      <c r="C27" s="394">
        <v>0</v>
      </c>
      <c r="D27" s="192">
        <v>0</v>
      </c>
      <c r="E27" s="193">
        <v>0</v>
      </c>
      <c r="F27" s="193">
        <v>18</v>
      </c>
      <c r="G27" s="316">
        <f t="shared" si="0"/>
        <v>18</v>
      </c>
      <c r="H27" s="323">
        <f>G27/G30</f>
        <v>0.0006362672322375398</v>
      </c>
    </row>
    <row r="28" spans="1:8" ht="15" customHeight="1">
      <c r="A28" s="403">
        <v>22</v>
      </c>
      <c r="B28" s="407" t="s">
        <v>95</v>
      </c>
      <c r="C28" s="394">
        <v>0</v>
      </c>
      <c r="D28" s="192">
        <v>0</v>
      </c>
      <c r="E28" s="193">
        <v>0</v>
      </c>
      <c r="F28" s="193">
        <v>2235</v>
      </c>
      <c r="G28" s="316">
        <f t="shared" si="0"/>
        <v>2235</v>
      </c>
      <c r="H28" s="323">
        <f>G28/G30</f>
        <v>0.07900318133616119</v>
      </c>
    </row>
    <row r="29" spans="1:8" ht="15" customHeight="1" thickBot="1">
      <c r="A29" s="423">
        <v>23</v>
      </c>
      <c r="B29" s="408" t="s">
        <v>96</v>
      </c>
      <c r="C29" s="396">
        <v>0</v>
      </c>
      <c r="D29" s="196">
        <v>0</v>
      </c>
      <c r="E29" s="197">
        <v>0</v>
      </c>
      <c r="F29" s="197">
        <v>22</v>
      </c>
      <c r="G29" s="319">
        <f t="shared" si="0"/>
        <v>22</v>
      </c>
      <c r="H29" s="435">
        <f>G29/G30</f>
        <v>0.0007776599505125487</v>
      </c>
    </row>
    <row r="30" spans="1:8" ht="15" customHeight="1" thickBot="1">
      <c r="A30" s="424"/>
      <c r="B30" s="410" t="s">
        <v>6</v>
      </c>
      <c r="C30" s="397">
        <f aca="true" t="shared" si="1" ref="C30:H30">SUM(C7:C29)</f>
        <v>12</v>
      </c>
      <c r="D30" s="198">
        <f t="shared" si="1"/>
        <v>0</v>
      </c>
      <c r="E30" s="198">
        <f t="shared" si="1"/>
        <v>528</v>
      </c>
      <c r="F30" s="198">
        <f t="shared" si="1"/>
        <v>27750</v>
      </c>
      <c r="G30" s="199">
        <f t="shared" si="1"/>
        <v>28290</v>
      </c>
      <c r="H30" s="492">
        <f t="shared" si="1"/>
        <v>1</v>
      </c>
    </row>
    <row r="31" spans="1:7" ht="12.75">
      <c r="A31" s="207"/>
      <c r="B31" s="208"/>
      <c r="C31" s="209"/>
      <c r="D31" s="209"/>
      <c r="E31" s="209"/>
      <c r="F31" s="209"/>
      <c r="G31" s="209"/>
    </row>
    <row r="32" spans="1:7" ht="12.75">
      <c r="A32" s="207"/>
      <c r="B32" s="208"/>
      <c r="C32" s="209"/>
      <c r="D32" s="209"/>
      <c r="E32" s="209"/>
      <c r="F32" s="209"/>
      <c r="G32" s="209"/>
    </row>
    <row r="33" spans="1:6" ht="12.75">
      <c r="A33" s="102" t="s">
        <v>125</v>
      </c>
      <c r="B33" s="102"/>
      <c r="F33" s="253" t="s">
        <v>15</v>
      </c>
    </row>
    <row r="34" spans="1:6" ht="12.75">
      <c r="A34" s="604">
        <v>41491</v>
      </c>
      <c r="B34" s="604"/>
      <c r="F34" s="253" t="s">
        <v>97</v>
      </c>
    </row>
  </sheetData>
  <sheetProtection/>
  <mergeCells count="8">
    <mergeCell ref="H5:H6"/>
    <mergeCell ref="C4:H4"/>
    <mergeCell ref="A34:B34"/>
    <mergeCell ref="A2:G2"/>
    <mergeCell ref="A3:C3"/>
    <mergeCell ref="C5:D5"/>
    <mergeCell ref="E5:F5"/>
    <mergeCell ref="G5:G6"/>
  </mergeCells>
  <printOptions/>
  <pageMargins left="0.31496062992125984" right="0.31496062992125984" top="0.35433070866141736" bottom="0.15748031496062992"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H33"/>
  <sheetViews>
    <sheetView zoomScalePageLayoutView="0" workbookViewId="0" topLeftCell="A10">
      <selection activeCell="D26" sqref="D26"/>
    </sheetView>
  </sheetViews>
  <sheetFormatPr defaultColWidth="9.140625" defaultRowHeight="12.75"/>
  <cols>
    <col min="1" max="1" width="5.28125" style="0" customWidth="1"/>
    <col min="2" max="2" width="50.8515625" style="0" customWidth="1"/>
    <col min="3" max="7" width="12.7109375" style="0" customWidth="1"/>
    <col min="8" max="8" width="13.28125" style="0" customWidth="1"/>
  </cols>
  <sheetData>
    <row r="1" spans="1:2" ht="12.75">
      <c r="A1" s="287" t="s">
        <v>127</v>
      </c>
      <c r="B1" s="43"/>
    </row>
    <row r="2" spans="1:7" ht="26.25" customHeight="1">
      <c r="A2" s="579" t="s">
        <v>128</v>
      </c>
      <c r="B2" s="579"/>
      <c r="C2" s="579"/>
      <c r="D2" s="579"/>
      <c r="E2" s="579"/>
      <c r="F2" s="579"/>
      <c r="G2" s="579"/>
    </row>
    <row r="3" spans="1:3" ht="16.5" thickBot="1">
      <c r="A3" s="586"/>
      <c r="B3" s="586"/>
      <c r="C3" s="586"/>
    </row>
    <row r="4" spans="1:8" ht="18" customHeight="1">
      <c r="A4" s="398"/>
      <c r="B4" s="399"/>
      <c r="C4" s="590" t="s">
        <v>66</v>
      </c>
      <c r="D4" s="591"/>
      <c r="E4" s="591"/>
      <c r="F4" s="591"/>
      <c r="G4" s="591"/>
      <c r="H4" s="600"/>
    </row>
    <row r="5" spans="1:8" ht="18.75" customHeight="1">
      <c r="A5" s="400" t="s">
        <v>67</v>
      </c>
      <c r="B5" s="401" t="s">
        <v>68</v>
      </c>
      <c r="C5" s="592" t="s">
        <v>69</v>
      </c>
      <c r="D5" s="593"/>
      <c r="E5" s="594" t="s">
        <v>70</v>
      </c>
      <c r="F5" s="594"/>
      <c r="G5" s="595" t="s">
        <v>6</v>
      </c>
      <c r="H5" s="602" t="s">
        <v>144</v>
      </c>
    </row>
    <row r="6" spans="1:8" ht="24.75" customHeight="1" thickBot="1">
      <c r="A6" s="431"/>
      <c r="B6" s="431"/>
      <c r="C6" s="422" t="s">
        <v>71</v>
      </c>
      <c r="D6" s="318" t="s">
        <v>72</v>
      </c>
      <c r="E6" s="318" t="s">
        <v>72</v>
      </c>
      <c r="F6" s="318" t="s">
        <v>73</v>
      </c>
      <c r="G6" s="596"/>
      <c r="H6" s="603"/>
    </row>
    <row r="7" spans="1:8" ht="15" customHeight="1">
      <c r="A7" s="433">
        <v>1</v>
      </c>
      <c r="B7" s="434" t="s">
        <v>74</v>
      </c>
      <c r="C7" s="420">
        <v>0</v>
      </c>
      <c r="D7" s="240">
        <v>0</v>
      </c>
      <c r="E7" s="265">
        <v>0</v>
      </c>
      <c r="F7" s="265">
        <v>162</v>
      </c>
      <c r="G7" s="240">
        <f>SUM(C7+D7+E7+F7)</f>
        <v>162</v>
      </c>
      <c r="H7" s="439">
        <f>G7/G30</f>
        <v>0.005486318070983473</v>
      </c>
    </row>
    <row r="8" spans="1:8" ht="15" customHeight="1">
      <c r="A8" s="403">
        <v>2</v>
      </c>
      <c r="B8" s="404" t="s">
        <v>75</v>
      </c>
      <c r="C8" s="394">
        <v>0</v>
      </c>
      <c r="D8" s="192">
        <v>0</v>
      </c>
      <c r="E8" s="193">
        <v>0</v>
      </c>
      <c r="F8" s="193">
        <v>78</v>
      </c>
      <c r="G8" s="192">
        <f>SUM(C8+D8+E8+F8)</f>
        <v>78</v>
      </c>
      <c r="H8" s="323">
        <f>G8/G30</f>
        <v>0.002641560552695746</v>
      </c>
    </row>
    <row r="9" spans="1:8" ht="15" customHeight="1">
      <c r="A9" s="403">
        <v>3</v>
      </c>
      <c r="B9" s="404" t="s">
        <v>76</v>
      </c>
      <c r="C9" s="394">
        <v>7</v>
      </c>
      <c r="D9" s="192">
        <v>0</v>
      </c>
      <c r="E9" s="193">
        <v>0</v>
      </c>
      <c r="F9" s="193">
        <v>3063</v>
      </c>
      <c r="G9" s="192">
        <f aca="true" t="shared" si="0" ref="G9:G29">SUM(C9+D9+E9+F9)</f>
        <v>3070</v>
      </c>
      <c r="H9" s="323">
        <f>G9/G30</f>
        <v>0.10396911406123002</v>
      </c>
    </row>
    <row r="10" spans="1:8" ht="15" customHeight="1">
      <c r="A10" s="403">
        <v>4</v>
      </c>
      <c r="B10" s="404" t="s">
        <v>77</v>
      </c>
      <c r="C10" s="395">
        <v>0</v>
      </c>
      <c r="D10" s="194">
        <v>0</v>
      </c>
      <c r="E10" s="195">
        <v>0</v>
      </c>
      <c r="F10" s="179">
        <v>20</v>
      </c>
      <c r="G10" s="175">
        <f t="shared" si="0"/>
        <v>20</v>
      </c>
      <c r="H10" s="323">
        <f>G10/G30</f>
        <v>0.000677323218639935</v>
      </c>
    </row>
    <row r="11" spans="1:8" ht="24.75" customHeight="1">
      <c r="A11" s="403">
        <v>5</v>
      </c>
      <c r="B11" s="404" t="s">
        <v>78</v>
      </c>
      <c r="C11" s="394">
        <v>0</v>
      </c>
      <c r="D11" s="192">
        <v>0</v>
      </c>
      <c r="E11" s="193">
        <v>0</v>
      </c>
      <c r="F11" s="193">
        <v>15</v>
      </c>
      <c r="G11" s="175">
        <f t="shared" si="0"/>
        <v>15</v>
      </c>
      <c r="H11" s="323">
        <f>G11/G30</f>
        <v>0.0005079924139799512</v>
      </c>
    </row>
    <row r="12" spans="1:8" ht="15" customHeight="1">
      <c r="A12" s="403">
        <v>6</v>
      </c>
      <c r="B12" s="404" t="s">
        <v>79</v>
      </c>
      <c r="C12" s="395">
        <v>0</v>
      </c>
      <c r="D12" s="175">
        <v>0</v>
      </c>
      <c r="E12" s="179">
        <v>0</v>
      </c>
      <c r="F12" s="179">
        <v>5064</v>
      </c>
      <c r="G12" s="175">
        <f t="shared" si="0"/>
        <v>5064</v>
      </c>
      <c r="H12" s="323">
        <f>G12/G30</f>
        <v>0.17149823895963154</v>
      </c>
    </row>
    <row r="13" spans="1:8" ht="24.75" customHeight="1">
      <c r="A13" s="403">
        <v>7</v>
      </c>
      <c r="B13" s="404" t="s">
        <v>80</v>
      </c>
      <c r="C13" s="395">
        <v>0</v>
      </c>
      <c r="D13" s="175">
        <v>0</v>
      </c>
      <c r="E13" s="179">
        <v>0</v>
      </c>
      <c r="F13" s="179">
        <v>5991</v>
      </c>
      <c r="G13" s="175">
        <f t="shared" si="0"/>
        <v>5991</v>
      </c>
      <c r="H13" s="323">
        <f>G13/G30</f>
        <v>0.2028921701435925</v>
      </c>
    </row>
    <row r="14" spans="1:8" ht="15" customHeight="1">
      <c r="A14" s="403">
        <v>8</v>
      </c>
      <c r="B14" s="404" t="s">
        <v>81</v>
      </c>
      <c r="C14" s="395">
        <v>0</v>
      </c>
      <c r="D14" s="175">
        <v>0</v>
      </c>
      <c r="E14" s="175">
        <v>0</v>
      </c>
      <c r="F14" s="179">
        <v>663</v>
      </c>
      <c r="G14" s="175">
        <f t="shared" si="0"/>
        <v>663</v>
      </c>
      <c r="H14" s="323">
        <f>G14/G30</f>
        <v>0.022453264697913845</v>
      </c>
    </row>
    <row r="15" spans="1:8" ht="15" customHeight="1">
      <c r="A15" s="403">
        <v>9</v>
      </c>
      <c r="B15" s="404" t="s">
        <v>82</v>
      </c>
      <c r="C15" s="394">
        <v>0</v>
      </c>
      <c r="D15" s="192">
        <v>0</v>
      </c>
      <c r="E15" s="175">
        <v>409</v>
      </c>
      <c r="F15" s="193">
        <v>1462</v>
      </c>
      <c r="G15" s="175">
        <f t="shared" si="0"/>
        <v>1871</v>
      </c>
      <c r="H15" s="323">
        <f>G15/G30</f>
        <v>0.06336358710376591</v>
      </c>
    </row>
    <row r="16" spans="1:8" ht="15" customHeight="1">
      <c r="A16" s="403">
        <v>10</v>
      </c>
      <c r="B16" s="404" t="s">
        <v>83</v>
      </c>
      <c r="C16" s="394">
        <v>0</v>
      </c>
      <c r="D16" s="192">
        <v>0</v>
      </c>
      <c r="E16" s="193">
        <v>0</v>
      </c>
      <c r="F16" s="193">
        <v>523</v>
      </c>
      <c r="G16" s="316">
        <f t="shared" si="0"/>
        <v>523</v>
      </c>
      <c r="H16" s="323">
        <f>G16/G30</f>
        <v>0.0177120021674343</v>
      </c>
    </row>
    <row r="17" spans="1:8" ht="15" customHeight="1">
      <c r="A17" s="403">
        <v>11</v>
      </c>
      <c r="B17" s="404" t="s">
        <v>84</v>
      </c>
      <c r="C17" s="394">
        <v>0</v>
      </c>
      <c r="D17" s="192">
        <v>0</v>
      </c>
      <c r="E17" s="193">
        <v>0</v>
      </c>
      <c r="F17" s="179">
        <v>714</v>
      </c>
      <c r="G17" s="317">
        <f t="shared" si="0"/>
        <v>714</v>
      </c>
      <c r="H17" s="323">
        <f>G17/G30</f>
        <v>0.02418043890544568</v>
      </c>
    </row>
    <row r="18" spans="1:8" ht="15" customHeight="1">
      <c r="A18" s="403">
        <v>12</v>
      </c>
      <c r="B18" s="404" t="s">
        <v>85</v>
      </c>
      <c r="C18" s="394">
        <v>0</v>
      </c>
      <c r="D18" s="192">
        <v>0</v>
      </c>
      <c r="E18" s="193"/>
      <c r="F18" s="193">
        <v>166</v>
      </c>
      <c r="G18" s="316">
        <f t="shared" si="0"/>
        <v>166</v>
      </c>
      <c r="H18" s="323">
        <f>G18/G30</f>
        <v>0.005621782714711461</v>
      </c>
    </row>
    <row r="19" spans="1:8" ht="15" customHeight="1">
      <c r="A19" s="403">
        <v>13</v>
      </c>
      <c r="B19" s="404" t="s">
        <v>86</v>
      </c>
      <c r="C19" s="394">
        <v>0</v>
      </c>
      <c r="D19" s="192">
        <v>0</v>
      </c>
      <c r="E19" s="193">
        <v>0</v>
      </c>
      <c r="F19" s="193">
        <v>1291</v>
      </c>
      <c r="G19" s="316">
        <f t="shared" si="0"/>
        <v>1291</v>
      </c>
      <c r="H19" s="323">
        <f>G19/G30</f>
        <v>0.043721213763207804</v>
      </c>
    </row>
    <row r="20" spans="1:8" ht="15" customHeight="1">
      <c r="A20" s="403">
        <v>14</v>
      </c>
      <c r="B20" s="404" t="s">
        <v>87</v>
      </c>
      <c r="C20" s="394">
        <v>0</v>
      </c>
      <c r="D20" s="192">
        <v>0</v>
      </c>
      <c r="E20" s="193">
        <v>0</v>
      </c>
      <c r="F20" s="193">
        <v>514</v>
      </c>
      <c r="G20" s="316">
        <f t="shared" si="0"/>
        <v>514</v>
      </c>
      <c r="H20" s="323">
        <f>G20/G30</f>
        <v>0.017407206719046327</v>
      </c>
    </row>
    <row r="21" spans="1:8" ht="15" customHeight="1">
      <c r="A21" s="405">
        <v>15</v>
      </c>
      <c r="B21" s="404" t="s">
        <v>88</v>
      </c>
      <c r="C21" s="394">
        <v>0</v>
      </c>
      <c r="D21" s="192">
        <v>0</v>
      </c>
      <c r="E21" s="193">
        <v>0</v>
      </c>
      <c r="F21" s="193">
        <v>2401</v>
      </c>
      <c r="G21" s="316">
        <f t="shared" si="0"/>
        <v>2401</v>
      </c>
      <c r="H21" s="323">
        <f>G21/G30</f>
        <v>0.0813126523977242</v>
      </c>
    </row>
    <row r="22" spans="1:8" ht="15" customHeight="1">
      <c r="A22" s="403">
        <v>16</v>
      </c>
      <c r="B22" s="404" t="s">
        <v>89</v>
      </c>
      <c r="C22" s="394">
        <v>0</v>
      </c>
      <c r="D22" s="192">
        <v>0</v>
      </c>
      <c r="E22" s="193">
        <v>0</v>
      </c>
      <c r="F22" s="193">
        <v>3314</v>
      </c>
      <c r="G22" s="317">
        <f t="shared" si="0"/>
        <v>3314</v>
      </c>
      <c r="H22" s="323">
        <f>G22/G30</f>
        <v>0.11223245732863722</v>
      </c>
    </row>
    <row r="23" spans="1:8" ht="24.75" customHeight="1">
      <c r="A23" s="405">
        <v>17</v>
      </c>
      <c r="B23" s="404" t="s">
        <v>90</v>
      </c>
      <c r="C23" s="394">
        <v>0</v>
      </c>
      <c r="D23" s="192">
        <v>0</v>
      </c>
      <c r="E23" s="193">
        <v>0</v>
      </c>
      <c r="F23" s="193">
        <v>372</v>
      </c>
      <c r="G23" s="316">
        <f t="shared" si="0"/>
        <v>372</v>
      </c>
      <c r="H23" s="323">
        <f>G23/G30</f>
        <v>0.012598211866702791</v>
      </c>
    </row>
    <row r="24" spans="1:8" ht="15" customHeight="1">
      <c r="A24" s="403">
        <v>18</v>
      </c>
      <c r="B24" s="406" t="s">
        <v>91</v>
      </c>
      <c r="C24" s="394">
        <v>0</v>
      </c>
      <c r="D24" s="192">
        <v>0</v>
      </c>
      <c r="E24" s="193">
        <v>5</v>
      </c>
      <c r="F24" s="193">
        <v>290</v>
      </c>
      <c r="G24" s="316">
        <f t="shared" si="0"/>
        <v>295</v>
      </c>
      <c r="H24" s="323">
        <f>G24/G30</f>
        <v>0.00999051747493904</v>
      </c>
    </row>
    <row r="25" spans="1:8" ht="15" customHeight="1">
      <c r="A25" s="403">
        <v>19</v>
      </c>
      <c r="B25" s="406" t="s">
        <v>92</v>
      </c>
      <c r="C25" s="394">
        <v>0</v>
      </c>
      <c r="D25" s="192">
        <v>0</v>
      </c>
      <c r="E25" s="193">
        <v>4</v>
      </c>
      <c r="F25" s="193">
        <v>567</v>
      </c>
      <c r="G25" s="316">
        <f t="shared" si="0"/>
        <v>571</v>
      </c>
      <c r="H25" s="323">
        <f>G25/G30</f>
        <v>0.019337577892170145</v>
      </c>
    </row>
    <row r="26" spans="1:8" ht="39" customHeight="1">
      <c r="A26" s="405">
        <v>20</v>
      </c>
      <c r="B26" s="406" t="s">
        <v>93</v>
      </c>
      <c r="C26" s="394">
        <v>0</v>
      </c>
      <c r="D26" s="192">
        <v>0</v>
      </c>
      <c r="E26" s="193">
        <v>0</v>
      </c>
      <c r="F26" s="193">
        <v>45</v>
      </c>
      <c r="G26" s="319">
        <f t="shared" si="0"/>
        <v>45</v>
      </c>
      <c r="H26" s="323">
        <f>G26/G30</f>
        <v>0.0015239772419398537</v>
      </c>
    </row>
    <row r="27" spans="1:8" ht="15" customHeight="1">
      <c r="A27" s="403">
        <v>21</v>
      </c>
      <c r="B27" s="406" t="s">
        <v>94</v>
      </c>
      <c r="C27" s="394">
        <v>0</v>
      </c>
      <c r="D27" s="192">
        <v>0</v>
      </c>
      <c r="E27" s="193">
        <v>0</v>
      </c>
      <c r="F27" s="193">
        <v>21</v>
      </c>
      <c r="G27" s="316">
        <f t="shared" si="0"/>
        <v>21</v>
      </c>
      <c r="H27" s="323">
        <f>G27/G30</f>
        <v>0.0007111893795719317</v>
      </c>
    </row>
    <row r="28" spans="1:8" ht="15" customHeight="1">
      <c r="A28" s="403">
        <v>22</v>
      </c>
      <c r="B28" s="407" t="s">
        <v>95</v>
      </c>
      <c r="C28" s="394">
        <v>0</v>
      </c>
      <c r="D28" s="192">
        <v>0</v>
      </c>
      <c r="E28" s="193">
        <v>0</v>
      </c>
      <c r="F28" s="193">
        <v>2363</v>
      </c>
      <c r="G28" s="316">
        <f t="shared" si="0"/>
        <v>2363</v>
      </c>
      <c r="H28" s="323">
        <f>G28/G30</f>
        <v>0.08002573828230831</v>
      </c>
    </row>
    <row r="29" spans="1:8" ht="15" customHeight="1" thickBot="1">
      <c r="A29" s="423">
        <v>23</v>
      </c>
      <c r="B29" s="408" t="s">
        <v>96</v>
      </c>
      <c r="C29" s="396">
        <v>0</v>
      </c>
      <c r="D29" s="196">
        <v>0</v>
      </c>
      <c r="E29" s="197">
        <v>0</v>
      </c>
      <c r="F29" s="197">
        <v>4</v>
      </c>
      <c r="G29" s="319">
        <f t="shared" si="0"/>
        <v>4</v>
      </c>
      <c r="H29" s="435">
        <f>G29/G30</f>
        <v>0.000135464643727987</v>
      </c>
    </row>
    <row r="30" spans="1:8" ht="15" customHeight="1" thickBot="1">
      <c r="A30" s="424"/>
      <c r="B30" s="410" t="s">
        <v>6</v>
      </c>
      <c r="C30" s="397">
        <f aca="true" t="shared" si="1" ref="C30:H30">SUM(C7:C29)</f>
        <v>7</v>
      </c>
      <c r="D30" s="198">
        <f t="shared" si="1"/>
        <v>0</v>
      </c>
      <c r="E30" s="198">
        <f t="shared" si="1"/>
        <v>418</v>
      </c>
      <c r="F30" s="198">
        <f t="shared" si="1"/>
        <v>29103</v>
      </c>
      <c r="G30" s="199">
        <f t="shared" si="1"/>
        <v>29528</v>
      </c>
      <c r="H30" s="492">
        <f t="shared" si="1"/>
        <v>0.9999999999999999</v>
      </c>
    </row>
    <row r="31" spans="1:7" ht="12.75">
      <c r="A31" s="207"/>
      <c r="B31" s="208"/>
      <c r="C31" s="209"/>
      <c r="D31" s="209"/>
      <c r="E31" s="209"/>
      <c r="F31" s="209"/>
      <c r="G31" s="209"/>
    </row>
    <row r="32" spans="1:6" ht="12.75">
      <c r="A32" s="102" t="s">
        <v>129</v>
      </c>
      <c r="B32" s="102"/>
      <c r="F32" s="253" t="s">
        <v>15</v>
      </c>
    </row>
    <row r="33" spans="1:6" ht="12.75">
      <c r="A33" s="604">
        <v>41522</v>
      </c>
      <c r="B33" s="604"/>
      <c r="F33" s="253" t="s">
        <v>97</v>
      </c>
    </row>
  </sheetData>
  <sheetProtection/>
  <mergeCells count="8">
    <mergeCell ref="H5:H6"/>
    <mergeCell ref="C4:H4"/>
    <mergeCell ref="A33:B33"/>
    <mergeCell ref="A2:G2"/>
    <mergeCell ref="A3:C3"/>
    <mergeCell ref="C5:D5"/>
    <mergeCell ref="E5:F5"/>
    <mergeCell ref="G5:G6"/>
  </mergeCells>
  <printOptions/>
  <pageMargins left="0.11811023622047245" right="0.11811023622047245" top="0.35433070866141736" bottom="0"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2:H34"/>
  <sheetViews>
    <sheetView zoomScalePageLayoutView="0" workbookViewId="0" topLeftCell="A13">
      <selection activeCell="A31" sqref="A31"/>
    </sheetView>
  </sheetViews>
  <sheetFormatPr defaultColWidth="9.140625" defaultRowHeight="12.75"/>
  <cols>
    <col min="1" max="1" width="5.421875" style="0" customWidth="1"/>
    <col min="2" max="2" width="55.57421875" style="0" customWidth="1"/>
    <col min="3" max="7" width="12.7109375" style="0" customWidth="1"/>
    <col min="8" max="8" width="11.7109375" style="0" customWidth="1"/>
  </cols>
  <sheetData>
    <row r="2" spans="1:2" ht="12.75">
      <c r="A2" s="287" t="s">
        <v>137</v>
      </c>
      <c r="B2" s="43"/>
    </row>
    <row r="3" spans="1:7" ht="27" customHeight="1">
      <c r="A3" s="579" t="s">
        <v>136</v>
      </c>
      <c r="B3" s="579"/>
      <c r="C3" s="579"/>
      <c r="D3" s="579"/>
      <c r="E3" s="579"/>
      <c r="F3" s="579"/>
      <c r="G3" s="579"/>
    </row>
    <row r="4" spans="1:3" ht="16.5" thickBot="1">
      <c r="A4" s="586"/>
      <c r="B4" s="586"/>
      <c r="C4" s="586"/>
    </row>
    <row r="5" spans="1:8" ht="16.5" customHeight="1">
      <c r="A5" s="398"/>
      <c r="B5" s="399"/>
      <c r="C5" s="590" t="s">
        <v>66</v>
      </c>
      <c r="D5" s="591"/>
      <c r="E5" s="591"/>
      <c r="F5" s="591"/>
      <c r="G5" s="591"/>
      <c r="H5" s="440"/>
    </row>
    <row r="6" spans="1:8" ht="12.75">
      <c r="A6" s="400" t="s">
        <v>67</v>
      </c>
      <c r="B6" s="401" t="s">
        <v>68</v>
      </c>
      <c r="C6" s="592" t="s">
        <v>69</v>
      </c>
      <c r="D6" s="593"/>
      <c r="E6" s="594" t="s">
        <v>70</v>
      </c>
      <c r="F6" s="594"/>
      <c r="G6" s="595" t="s">
        <v>6</v>
      </c>
      <c r="H6" s="602" t="s">
        <v>144</v>
      </c>
    </row>
    <row r="7" spans="1:8" ht="27" customHeight="1" thickBot="1">
      <c r="A7" s="431"/>
      <c r="B7" s="431"/>
      <c r="C7" s="422" t="s">
        <v>71</v>
      </c>
      <c r="D7" s="318" t="s">
        <v>72</v>
      </c>
      <c r="E7" s="318" t="s">
        <v>72</v>
      </c>
      <c r="F7" s="318" t="s">
        <v>73</v>
      </c>
      <c r="G7" s="596"/>
      <c r="H7" s="603"/>
    </row>
    <row r="8" spans="1:8" ht="15" customHeight="1">
      <c r="A8" s="433">
        <v>1</v>
      </c>
      <c r="B8" s="434" t="s">
        <v>74</v>
      </c>
      <c r="C8" s="420">
        <v>0</v>
      </c>
      <c r="D8" s="240">
        <v>0</v>
      </c>
      <c r="E8" s="265">
        <v>0</v>
      </c>
      <c r="F8" s="265">
        <v>164</v>
      </c>
      <c r="G8" s="240">
        <f>SUM(C8+D8+E8+F8)</f>
        <v>164</v>
      </c>
      <c r="H8" s="439">
        <f>G8/G31</f>
        <v>0.005404514747075301</v>
      </c>
    </row>
    <row r="9" spans="1:8" ht="15" customHeight="1">
      <c r="A9" s="403">
        <v>2</v>
      </c>
      <c r="B9" s="404" t="s">
        <v>75</v>
      </c>
      <c r="C9" s="394">
        <v>0</v>
      </c>
      <c r="D9" s="192">
        <v>0</v>
      </c>
      <c r="E9" s="193">
        <v>0</v>
      </c>
      <c r="F9" s="193">
        <v>83</v>
      </c>
      <c r="G9" s="192">
        <f>SUM(C9+D9+E9+F9)</f>
        <v>83</v>
      </c>
      <c r="H9" s="323">
        <f>G9/G31</f>
        <v>0.002735211731751524</v>
      </c>
    </row>
    <row r="10" spans="1:8" ht="15" customHeight="1">
      <c r="A10" s="403">
        <v>3</v>
      </c>
      <c r="B10" s="404" t="s">
        <v>76</v>
      </c>
      <c r="C10" s="394">
        <v>0</v>
      </c>
      <c r="D10" s="192">
        <v>0</v>
      </c>
      <c r="E10" s="193">
        <v>0</v>
      </c>
      <c r="F10" s="193">
        <v>2947</v>
      </c>
      <c r="G10" s="192">
        <f aca="true" t="shared" si="0" ref="G10:G30">SUM(C10+D10+E10+F10)</f>
        <v>2947</v>
      </c>
      <c r="H10" s="323">
        <f>G10/G31</f>
        <v>0.09711649365628604</v>
      </c>
    </row>
    <row r="11" spans="1:8" ht="15" customHeight="1">
      <c r="A11" s="403">
        <v>4</v>
      </c>
      <c r="B11" s="404" t="s">
        <v>77</v>
      </c>
      <c r="C11" s="395">
        <v>0</v>
      </c>
      <c r="D11" s="194">
        <v>0</v>
      </c>
      <c r="E11" s="195">
        <v>0</v>
      </c>
      <c r="F11" s="179">
        <v>20</v>
      </c>
      <c r="G11" s="175">
        <f t="shared" si="0"/>
        <v>20</v>
      </c>
      <c r="H11" s="323">
        <f>G11/G31</f>
        <v>0.0006590871642774757</v>
      </c>
    </row>
    <row r="12" spans="1:8" ht="23.25" customHeight="1">
      <c r="A12" s="403">
        <v>5</v>
      </c>
      <c r="B12" s="404" t="s">
        <v>78</v>
      </c>
      <c r="C12" s="394">
        <v>0</v>
      </c>
      <c r="D12" s="192">
        <v>0</v>
      </c>
      <c r="E12" s="193">
        <v>0</v>
      </c>
      <c r="F12" s="193">
        <v>15</v>
      </c>
      <c r="G12" s="175">
        <f t="shared" si="0"/>
        <v>15</v>
      </c>
      <c r="H12" s="323">
        <f>G12/G31</f>
        <v>0.0004943153732081067</v>
      </c>
    </row>
    <row r="13" spans="1:8" ht="15" customHeight="1">
      <c r="A13" s="403">
        <v>6</v>
      </c>
      <c r="B13" s="404" t="s">
        <v>79</v>
      </c>
      <c r="C13" s="395">
        <v>0</v>
      </c>
      <c r="D13" s="175">
        <v>0</v>
      </c>
      <c r="E13" s="179">
        <v>0</v>
      </c>
      <c r="F13" s="179">
        <v>4807</v>
      </c>
      <c r="G13" s="175">
        <f t="shared" si="0"/>
        <v>4807</v>
      </c>
      <c r="H13" s="323">
        <f>G13/G31</f>
        <v>0.1584115999340913</v>
      </c>
    </row>
    <row r="14" spans="1:8" ht="25.5" customHeight="1">
      <c r="A14" s="403">
        <v>7</v>
      </c>
      <c r="B14" s="404" t="s">
        <v>80</v>
      </c>
      <c r="C14" s="395">
        <v>0</v>
      </c>
      <c r="D14" s="175">
        <v>0</v>
      </c>
      <c r="E14" s="179">
        <v>0</v>
      </c>
      <c r="F14" s="179">
        <v>5875</v>
      </c>
      <c r="G14" s="175">
        <f t="shared" si="0"/>
        <v>5875</v>
      </c>
      <c r="H14" s="323">
        <f>G14/G31</f>
        <v>0.1936068545065085</v>
      </c>
    </row>
    <row r="15" spans="1:8" ht="15" customHeight="1">
      <c r="A15" s="403">
        <v>8</v>
      </c>
      <c r="B15" s="404" t="s">
        <v>81</v>
      </c>
      <c r="C15" s="395">
        <v>0</v>
      </c>
      <c r="D15" s="175">
        <v>0</v>
      </c>
      <c r="E15" s="175">
        <v>0</v>
      </c>
      <c r="F15" s="179">
        <v>806</v>
      </c>
      <c r="G15" s="317">
        <f t="shared" si="0"/>
        <v>806</v>
      </c>
      <c r="H15" s="323">
        <f>G15/G31</f>
        <v>0.026561212720382272</v>
      </c>
    </row>
    <row r="16" spans="1:8" ht="15" customHeight="1">
      <c r="A16" s="403">
        <v>9</v>
      </c>
      <c r="B16" s="404" t="s">
        <v>82</v>
      </c>
      <c r="C16" s="394">
        <v>0</v>
      </c>
      <c r="D16" s="192">
        <v>0</v>
      </c>
      <c r="E16" s="175">
        <v>323</v>
      </c>
      <c r="F16" s="193">
        <v>1414</v>
      </c>
      <c r="G16" s="317">
        <f t="shared" si="0"/>
        <v>1737</v>
      </c>
      <c r="H16" s="323">
        <f>G16/G31</f>
        <v>0.057241720217498765</v>
      </c>
    </row>
    <row r="17" spans="1:8" ht="15" customHeight="1">
      <c r="A17" s="403">
        <v>10</v>
      </c>
      <c r="B17" s="404" t="s">
        <v>83</v>
      </c>
      <c r="C17" s="394">
        <v>0</v>
      </c>
      <c r="D17" s="192">
        <v>0</v>
      </c>
      <c r="E17" s="193">
        <v>0</v>
      </c>
      <c r="F17" s="193">
        <v>506</v>
      </c>
      <c r="G17" s="316">
        <f t="shared" si="0"/>
        <v>506</v>
      </c>
      <c r="H17" s="323">
        <f>G17/G31</f>
        <v>0.016674905256220136</v>
      </c>
    </row>
    <row r="18" spans="1:8" ht="15" customHeight="1">
      <c r="A18" s="403">
        <v>11</v>
      </c>
      <c r="B18" s="404" t="s">
        <v>84</v>
      </c>
      <c r="C18" s="394">
        <v>0</v>
      </c>
      <c r="D18" s="192">
        <v>0</v>
      </c>
      <c r="E18" s="193">
        <v>0</v>
      </c>
      <c r="F18" s="179">
        <v>1975</v>
      </c>
      <c r="G18" s="317">
        <f t="shared" si="0"/>
        <v>1975</v>
      </c>
      <c r="H18" s="323">
        <f>G18/G31</f>
        <v>0.06508485747240073</v>
      </c>
    </row>
    <row r="19" spans="1:8" ht="15" customHeight="1">
      <c r="A19" s="403">
        <v>12</v>
      </c>
      <c r="B19" s="404" t="s">
        <v>85</v>
      </c>
      <c r="C19" s="394">
        <v>0</v>
      </c>
      <c r="D19" s="192">
        <v>0</v>
      </c>
      <c r="E19" s="193">
        <v>3</v>
      </c>
      <c r="F19" s="193">
        <v>169</v>
      </c>
      <c r="G19" s="316">
        <f t="shared" si="0"/>
        <v>172</v>
      </c>
      <c r="H19" s="323">
        <f>G19/G31</f>
        <v>0.005668149612786291</v>
      </c>
    </row>
    <row r="20" spans="1:8" ht="15" customHeight="1">
      <c r="A20" s="403">
        <v>13</v>
      </c>
      <c r="B20" s="404" t="s">
        <v>86</v>
      </c>
      <c r="C20" s="394">
        <v>0</v>
      </c>
      <c r="D20" s="192">
        <v>0</v>
      </c>
      <c r="E20" s="193">
        <v>0</v>
      </c>
      <c r="F20" s="193">
        <v>1281</v>
      </c>
      <c r="G20" s="316">
        <f t="shared" si="0"/>
        <v>1281</v>
      </c>
      <c r="H20" s="323">
        <f>G20/G31</f>
        <v>0.04221453287197232</v>
      </c>
    </row>
    <row r="21" spans="1:8" ht="15" customHeight="1">
      <c r="A21" s="403">
        <v>14</v>
      </c>
      <c r="B21" s="404" t="s">
        <v>87</v>
      </c>
      <c r="C21" s="394">
        <v>0</v>
      </c>
      <c r="D21" s="192">
        <v>0</v>
      </c>
      <c r="E21" s="193">
        <v>0</v>
      </c>
      <c r="F21" s="193">
        <v>478</v>
      </c>
      <c r="G21" s="316">
        <f t="shared" si="0"/>
        <v>478</v>
      </c>
      <c r="H21" s="323">
        <f>G21/G31</f>
        <v>0.01575218322623167</v>
      </c>
    </row>
    <row r="22" spans="1:8" ht="15" customHeight="1">
      <c r="A22" s="405">
        <v>15</v>
      </c>
      <c r="B22" s="404" t="s">
        <v>88</v>
      </c>
      <c r="C22" s="394">
        <v>0</v>
      </c>
      <c r="D22" s="192">
        <v>0</v>
      </c>
      <c r="E22" s="193">
        <v>0</v>
      </c>
      <c r="F22" s="193">
        <v>2188</v>
      </c>
      <c r="G22" s="316">
        <f t="shared" si="0"/>
        <v>2188</v>
      </c>
      <c r="H22" s="323">
        <f>G22/G31</f>
        <v>0.07210413577195585</v>
      </c>
    </row>
    <row r="23" spans="1:8" ht="15" customHeight="1">
      <c r="A23" s="403">
        <v>16</v>
      </c>
      <c r="B23" s="404" t="s">
        <v>89</v>
      </c>
      <c r="C23" s="394">
        <v>0</v>
      </c>
      <c r="D23" s="192">
        <v>0</v>
      </c>
      <c r="E23" s="193">
        <v>0</v>
      </c>
      <c r="F23" s="193">
        <v>3444</v>
      </c>
      <c r="G23" s="317">
        <f t="shared" si="0"/>
        <v>3444</v>
      </c>
      <c r="H23" s="323">
        <f>G23/G31</f>
        <v>0.11349480968858132</v>
      </c>
    </row>
    <row r="24" spans="1:8" ht="23.25" customHeight="1">
      <c r="A24" s="405">
        <v>17</v>
      </c>
      <c r="B24" s="404" t="s">
        <v>90</v>
      </c>
      <c r="C24" s="394">
        <v>0</v>
      </c>
      <c r="D24" s="192">
        <v>0</v>
      </c>
      <c r="E24" s="193">
        <v>0</v>
      </c>
      <c r="F24" s="193">
        <v>382</v>
      </c>
      <c r="G24" s="316">
        <f t="shared" si="0"/>
        <v>382</v>
      </c>
      <c r="H24" s="323">
        <f>G24/G31</f>
        <v>0.012588564837699786</v>
      </c>
    </row>
    <row r="25" spans="1:8" ht="15" customHeight="1">
      <c r="A25" s="403">
        <v>18</v>
      </c>
      <c r="B25" s="406" t="s">
        <v>91</v>
      </c>
      <c r="C25" s="394">
        <v>0</v>
      </c>
      <c r="D25" s="192">
        <v>0</v>
      </c>
      <c r="E25" s="193">
        <v>2</v>
      </c>
      <c r="F25" s="193">
        <v>294</v>
      </c>
      <c r="G25" s="316">
        <f t="shared" si="0"/>
        <v>296</v>
      </c>
      <c r="H25" s="323">
        <f>G25/G31</f>
        <v>0.00975449003130664</v>
      </c>
    </row>
    <row r="26" spans="1:8" ht="15" customHeight="1">
      <c r="A26" s="403">
        <v>19</v>
      </c>
      <c r="B26" s="406" t="s">
        <v>92</v>
      </c>
      <c r="C26" s="394">
        <v>0</v>
      </c>
      <c r="D26" s="192">
        <v>0</v>
      </c>
      <c r="E26" s="193">
        <v>1</v>
      </c>
      <c r="F26" s="193">
        <v>622</v>
      </c>
      <c r="G26" s="316">
        <f t="shared" si="0"/>
        <v>623</v>
      </c>
      <c r="H26" s="323">
        <f>G26/G31</f>
        <v>0.02053056516724337</v>
      </c>
    </row>
    <row r="27" spans="1:8" ht="35.25" customHeight="1">
      <c r="A27" s="405">
        <v>20</v>
      </c>
      <c r="B27" s="406" t="s">
        <v>93</v>
      </c>
      <c r="C27" s="394">
        <v>0</v>
      </c>
      <c r="D27" s="192">
        <v>0</v>
      </c>
      <c r="E27" s="193">
        <v>0</v>
      </c>
      <c r="F27" s="193">
        <v>52</v>
      </c>
      <c r="G27" s="319">
        <f t="shared" si="0"/>
        <v>52</v>
      </c>
      <c r="H27" s="323">
        <f>G27/G31</f>
        <v>0.0017136266271214368</v>
      </c>
    </row>
    <row r="28" spans="1:8" ht="15" customHeight="1">
      <c r="A28" s="403">
        <v>21</v>
      </c>
      <c r="B28" s="406" t="s">
        <v>94</v>
      </c>
      <c r="C28" s="394">
        <v>0</v>
      </c>
      <c r="D28" s="192">
        <v>0</v>
      </c>
      <c r="E28" s="193">
        <v>0</v>
      </c>
      <c r="F28" s="193">
        <v>20</v>
      </c>
      <c r="G28" s="316">
        <f t="shared" si="0"/>
        <v>20</v>
      </c>
      <c r="H28" s="323">
        <f>G28/G31</f>
        <v>0.0006590871642774757</v>
      </c>
    </row>
    <row r="29" spans="1:8" ht="15" customHeight="1">
      <c r="A29" s="403">
        <v>22</v>
      </c>
      <c r="B29" s="407" t="s">
        <v>95</v>
      </c>
      <c r="C29" s="394">
        <v>0</v>
      </c>
      <c r="D29" s="192">
        <v>0</v>
      </c>
      <c r="E29" s="193">
        <v>0</v>
      </c>
      <c r="F29" s="193">
        <v>2451</v>
      </c>
      <c r="G29" s="316">
        <f t="shared" si="0"/>
        <v>2451</v>
      </c>
      <c r="H29" s="323">
        <f>G29/G31</f>
        <v>0.08077113198220465</v>
      </c>
    </row>
    <row r="30" spans="1:8" ht="15" customHeight="1" thickBot="1">
      <c r="A30" s="423">
        <v>23</v>
      </c>
      <c r="B30" s="408" t="s">
        <v>96</v>
      </c>
      <c r="C30" s="396">
        <v>0</v>
      </c>
      <c r="D30" s="196">
        <v>0</v>
      </c>
      <c r="E30" s="197">
        <v>0</v>
      </c>
      <c r="F30" s="197">
        <v>23</v>
      </c>
      <c r="G30" s="319">
        <f t="shared" si="0"/>
        <v>23</v>
      </c>
      <c r="H30" s="435">
        <f>G30/G31</f>
        <v>0.000757950238919097</v>
      </c>
    </row>
    <row r="31" spans="1:8" ht="15" customHeight="1" thickBot="1">
      <c r="A31" s="424"/>
      <c r="B31" s="410" t="s">
        <v>6</v>
      </c>
      <c r="C31" s="397">
        <f aca="true" t="shared" si="1" ref="C31:H31">SUM(C8:C30)</f>
        <v>0</v>
      </c>
      <c r="D31" s="198">
        <f t="shared" si="1"/>
        <v>0</v>
      </c>
      <c r="E31" s="198">
        <f t="shared" si="1"/>
        <v>329</v>
      </c>
      <c r="F31" s="198">
        <f t="shared" si="1"/>
        <v>30016</v>
      </c>
      <c r="G31" s="199">
        <f t="shared" si="1"/>
        <v>30345</v>
      </c>
      <c r="H31" s="492">
        <f t="shared" si="1"/>
        <v>0.9999999999999999</v>
      </c>
    </row>
    <row r="32" spans="1:7" ht="12.75">
      <c r="A32" s="207"/>
      <c r="B32" s="208"/>
      <c r="C32" s="209"/>
      <c r="D32" s="209"/>
      <c r="E32" s="209"/>
      <c r="F32" s="209"/>
      <c r="G32" s="209"/>
    </row>
    <row r="33" spans="1:6" ht="12.75">
      <c r="A33" s="102" t="s">
        <v>129</v>
      </c>
      <c r="B33" s="102"/>
      <c r="F33" s="253" t="s">
        <v>15</v>
      </c>
    </row>
    <row r="34" spans="1:6" ht="12.75">
      <c r="A34" s="604">
        <v>41558</v>
      </c>
      <c r="B34" s="604"/>
      <c r="F34" s="253" t="s">
        <v>97</v>
      </c>
    </row>
  </sheetData>
  <sheetProtection/>
  <mergeCells count="8">
    <mergeCell ref="H6:H7"/>
    <mergeCell ref="A34:B34"/>
    <mergeCell ref="A3:G3"/>
    <mergeCell ref="A4:C4"/>
    <mergeCell ref="C5:G5"/>
    <mergeCell ref="C6:D6"/>
    <mergeCell ref="E6:F6"/>
    <mergeCell ref="G6:G7"/>
  </mergeCells>
  <printOptions/>
  <pageMargins left="0.11811023622047245" right="0.11811023622047245" top="0.35433070866141736" bottom="0.15748031496062992"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H33"/>
  <sheetViews>
    <sheetView zoomScalePageLayoutView="0" workbookViewId="0" topLeftCell="A1">
      <selection activeCell="A30" sqref="A30"/>
    </sheetView>
  </sheetViews>
  <sheetFormatPr defaultColWidth="9.140625" defaultRowHeight="12.75"/>
  <cols>
    <col min="1" max="1" width="5.421875" style="0" customWidth="1"/>
    <col min="2" max="2" width="60.8515625" style="0" customWidth="1"/>
    <col min="3" max="7" width="12.7109375" style="0" customWidth="1"/>
    <col min="8" max="8" width="12.8515625" style="0" customWidth="1"/>
  </cols>
  <sheetData>
    <row r="1" spans="1:2" ht="12.75">
      <c r="A1" s="287" t="s">
        <v>138</v>
      </c>
      <c r="B1" s="43"/>
    </row>
    <row r="2" spans="1:7" ht="26.25" customHeight="1">
      <c r="A2" s="605" t="s">
        <v>139</v>
      </c>
      <c r="B2" s="605"/>
      <c r="C2" s="605"/>
      <c r="D2" s="605"/>
      <c r="E2" s="605"/>
      <c r="F2" s="605"/>
      <c r="G2" s="605"/>
    </row>
    <row r="3" spans="1:3" ht="11.25" customHeight="1" thickBot="1">
      <c r="A3" s="586"/>
      <c r="B3" s="586"/>
      <c r="C3" s="586"/>
    </row>
    <row r="4" spans="1:8" ht="14.25" customHeight="1">
      <c r="A4" s="398"/>
      <c r="B4" s="399"/>
      <c r="C4" s="590" t="s">
        <v>66</v>
      </c>
      <c r="D4" s="591"/>
      <c r="E4" s="591"/>
      <c r="F4" s="591"/>
      <c r="G4" s="591"/>
      <c r="H4" s="600"/>
    </row>
    <row r="5" spans="1:8" ht="13.5" customHeight="1">
      <c r="A5" s="400" t="s">
        <v>67</v>
      </c>
      <c r="B5" s="401" t="s">
        <v>68</v>
      </c>
      <c r="C5" s="592" t="s">
        <v>69</v>
      </c>
      <c r="D5" s="593"/>
      <c r="E5" s="594" t="s">
        <v>70</v>
      </c>
      <c r="F5" s="594"/>
      <c r="G5" s="595" t="s">
        <v>6</v>
      </c>
      <c r="H5" s="602" t="s">
        <v>144</v>
      </c>
    </row>
    <row r="6" spans="1:8" ht="24" customHeight="1" thickBot="1">
      <c r="A6" s="431"/>
      <c r="B6" s="431"/>
      <c r="C6" s="422" t="s">
        <v>71</v>
      </c>
      <c r="D6" s="318" t="s">
        <v>72</v>
      </c>
      <c r="E6" s="318" t="s">
        <v>72</v>
      </c>
      <c r="F6" s="318" t="s">
        <v>73</v>
      </c>
      <c r="G6" s="596"/>
      <c r="H6" s="603"/>
    </row>
    <row r="7" spans="1:8" ht="14.25" customHeight="1">
      <c r="A7" s="433">
        <v>1</v>
      </c>
      <c r="B7" s="434" t="s">
        <v>74</v>
      </c>
      <c r="C7" s="420">
        <v>0</v>
      </c>
      <c r="D7" s="240">
        <v>0</v>
      </c>
      <c r="E7" s="265">
        <v>0</v>
      </c>
      <c r="F7" s="265">
        <v>170</v>
      </c>
      <c r="G7" s="240">
        <f>SUM(C7+D7+E7+F7)</f>
        <v>170</v>
      </c>
      <c r="H7" s="439">
        <f>G7/G30</f>
        <v>0.005752961082910322</v>
      </c>
    </row>
    <row r="8" spans="1:8" ht="14.25" customHeight="1">
      <c r="A8" s="403">
        <v>2</v>
      </c>
      <c r="B8" s="404" t="s">
        <v>75</v>
      </c>
      <c r="C8" s="394">
        <v>0</v>
      </c>
      <c r="D8" s="192">
        <v>0</v>
      </c>
      <c r="E8" s="193">
        <v>0</v>
      </c>
      <c r="F8" s="193">
        <v>74</v>
      </c>
      <c r="G8" s="192">
        <f>SUM(C8+D8+E8+F8)</f>
        <v>74</v>
      </c>
      <c r="H8" s="323">
        <f>G8/G30</f>
        <v>0.0025042301184433164</v>
      </c>
    </row>
    <row r="9" spans="1:8" ht="12.75" customHeight="1">
      <c r="A9" s="403">
        <v>3</v>
      </c>
      <c r="B9" s="404" t="s">
        <v>76</v>
      </c>
      <c r="C9" s="394">
        <v>12</v>
      </c>
      <c r="D9" s="192">
        <v>0</v>
      </c>
      <c r="E9" s="193">
        <v>0</v>
      </c>
      <c r="F9" s="193">
        <v>2865</v>
      </c>
      <c r="G9" s="192">
        <f aca="true" t="shared" si="0" ref="G9:G29">SUM(C9+D9+E9+F9)</f>
        <v>2877</v>
      </c>
      <c r="H9" s="323">
        <f>G9/G30</f>
        <v>0.09736040609137056</v>
      </c>
    </row>
    <row r="10" spans="1:8" ht="15" customHeight="1">
      <c r="A10" s="403">
        <v>4</v>
      </c>
      <c r="B10" s="404" t="s">
        <v>77</v>
      </c>
      <c r="C10" s="395">
        <v>0</v>
      </c>
      <c r="D10" s="194">
        <v>0</v>
      </c>
      <c r="E10" s="195">
        <v>0</v>
      </c>
      <c r="F10" s="179">
        <v>19</v>
      </c>
      <c r="G10" s="175">
        <f t="shared" si="0"/>
        <v>19</v>
      </c>
      <c r="H10" s="323">
        <f>G10/G30</f>
        <v>0.0006429780033840948</v>
      </c>
    </row>
    <row r="11" spans="1:8" ht="24" customHeight="1">
      <c r="A11" s="403">
        <v>5</v>
      </c>
      <c r="B11" s="404" t="s">
        <v>78</v>
      </c>
      <c r="C11" s="394">
        <v>0</v>
      </c>
      <c r="D11" s="192">
        <v>0</v>
      </c>
      <c r="E11" s="193">
        <v>0</v>
      </c>
      <c r="F11" s="193">
        <v>11</v>
      </c>
      <c r="G11" s="175">
        <f t="shared" si="0"/>
        <v>11</v>
      </c>
      <c r="H11" s="323">
        <f>G11/G30</f>
        <v>0.0003722504230118443</v>
      </c>
    </row>
    <row r="12" spans="1:8" ht="12.75" customHeight="1">
      <c r="A12" s="403">
        <v>6</v>
      </c>
      <c r="B12" s="404" t="s">
        <v>79</v>
      </c>
      <c r="C12" s="395">
        <v>0</v>
      </c>
      <c r="D12" s="175">
        <v>0</v>
      </c>
      <c r="E12" s="179">
        <v>8</v>
      </c>
      <c r="F12" s="179">
        <v>4552</v>
      </c>
      <c r="G12" s="175">
        <f t="shared" si="0"/>
        <v>4560</v>
      </c>
      <c r="H12" s="323">
        <f>G12/G30</f>
        <v>0.15431472081218275</v>
      </c>
    </row>
    <row r="13" spans="1:8" ht="24" customHeight="1">
      <c r="A13" s="403">
        <v>7</v>
      </c>
      <c r="B13" s="404" t="s">
        <v>80</v>
      </c>
      <c r="C13" s="395">
        <v>0</v>
      </c>
      <c r="D13" s="175">
        <v>0</v>
      </c>
      <c r="E13" s="179">
        <v>8</v>
      </c>
      <c r="F13" s="179">
        <v>5581</v>
      </c>
      <c r="G13" s="175">
        <f t="shared" si="0"/>
        <v>5589</v>
      </c>
      <c r="H13" s="323">
        <f>G13/G30</f>
        <v>0.18913705583756346</v>
      </c>
    </row>
    <row r="14" spans="1:8" ht="14.25" customHeight="1">
      <c r="A14" s="403">
        <v>8</v>
      </c>
      <c r="B14" s="404" t="s">
        <v>81</v>
      </c>
      <c r="C14" s="395">
        <v>0</v>
      </c>
      <c r="D14" s="175">
        <v>0</v>
      </c>
      <c r="E14" s="175">
        <v>1</v>
      </c>
      <c r="F14" s="179">
        <v>786</v>
      </c>
      <c r="G14" s="175">
        <f t="shared" si="0"/>
        <v>787</v>
      </c>
      <c r="H14" s="323">
        <f>G14/G30</f>
        <v>0.026632825719120134</v>
      </c>
    </row>
    <row r="15" spans="1:8" ht="24" customHeight="1">
      <c r="A15" s="403">
        <v>9</v>
      </c>
      <c r="B15" s="404" t="s">
        <v>82</v>
      </c>
      <c r="C15" s="394">
        <v>0</v>
      </c>
      <c r="D15" s="192">
        <v>0</v>
      </c>
      <c r="E15" s="175">
        <v>281</v>
      </c>
      <c r="F15" s="193">
        <v>1435</v>
      </c>
      <c r="G15" s="175">
        <f t="shared" si="0"/>
        <v>1716</v>
      </c>
      <c r="H15" s="323">
        <f>G15/G30</f>
        <v>0.058071065989847716</v>
      </c>
    </row>
    <row r="16" spans="1:8" ht="15" customHeight="1">
      <c r="A16" s="403">
        <v>10</v>
      </c>
      <c r="B16" s="404" t="s">
        <v>83</v>
      </c>
      <c r="C16" s="394">
        <v>0</v>
      </c>
      <c r="D16" s="192">
        <v>0</v>
      </c>
      <c r="E16" s="193">
        <v>0</v>
      </c>
      <c r="F16" s="193">
        <v>482</v>
      </c>
      <c r="G16" s="192">
        <f t="shared" si="0"/>
        <v>482</v>
      </c>
      <c r="H16" s="323">
        <f>G16/G30</f>
        <v>0.01631133671742809</v>
      </c>
    </row>
    <row r="17" spans="1:8" ht="15" customHeight="1">
      <c r="A17" s="403">
        <v>11</v>
      </c>
      <c r="B17" s="404" t="s">
        <v>84</v>
      </c>
      <c r="C17" s="394">
        <v>0</v>
      </c>
      <c r="D17" s="192">
        <v>0</v>
      </c>
      <c r="E17" s="193">
        <v>0</v>
      </c>
      <c r="F17" s="179">
        <v>2063</v>
      </c>
      <c r="G17" s="175">
        <f t="shared" si="0"/>
        <v>2063</v>
      </c>
      <c r="H17" s="323">
        <f>G17/G30</f>
        <v>0.06981387478849407</v>
      </c>
    </row>
    <row r="18" spans="1:8" ht="15" customHeight="1">
      <c r="A18" s="403">
        <v>12</v>
      </c>
      <c r="B18" s="404" t="s">
        <v>85</v>
      </c>
      <c r="C18" s="394">
        <v>0</v>
      </c>
      <c r="D18" s="192">
        <v>0</v>
      </c>
      <c r="E18" s="193">
        <v>2</v>
      </c>
      <c r="F18" s="193">
        <v>166</v>
      </c>
      <c r="G18" s="192">
        <f t="shared" si="0"/>
        <v>168</v>
      </c>
      <c r="H18" s="323">
        <f>G18/G30</f>
        <v>0.005685279187817259</v>
      </c>
    </row>
    <row r="19" spans="1:8" ht="15" customHeight="1">
      <c r="A19" s="403">
        <v>13</v>
      </c>
      <c r="B19" s="404" t="s">
        <v>86</v>
      </c>
      <c r="C19" s="394">
        <v>0</v>
      </c>
      <c r="D19" s="192">
        <v>0</v>
      </c>
      <c r="E19" s="193">
        <v>0</v>
      </c>
      <c r="F19" s="193">
        <v>1268</v>
      </c>
      <c r="G19" s="192">
        <f t="shared" si="0"/>
        <v>1268</v>
      </c>
      <c r="H19" s="323">
        <f>G19/G30</f>
        <v>0.042910321489001695</v>
      </c>
    </row>
    <row r="20" spans="1:8" ht="14.25" customHeight="1">
      <c r="A20" s="403">
        <v>14</v>
      </c>
      <c r="B20" s="404" t="s">
        <v>87</v>
      </c>
      <c r="C20" s="394">
        <v>0</v>
      </c>
      <c r="D20" s="192">
        <v>0</v>
      </c>
      <c r="E20" s="193">
        <v>0</v>
      </c>
      <c r="F20" s="193">
        <v>472</v>
      </c>
      <c r="G20" s="192">
        <f t="shared" si="0"/>
        <v>472</v>
      </c>
      <c r="H20" s="441">
        <f>G20/G30</f>
        <v>0.015972927241962774</v>
      </c>
    </row>
    <row r="21" spans="1:8" ht="13.5" customHeight="1">
      <c r="A21" s="405">
        <v>15</v>
      </c>
      <c r="B21" s="404" t="s">
        <v>88</v>
      </c>
      <c r="C21" s="394">
        <v>0</v>
      </c>
      <c r="D21" s="192">
        <v>0</v>
      </c>
      <c r="E21" s="193">
        <v>0</v>
      </c>
      <c r="F21" s="193">
        <v>2275</v>
      </c>
      <c r="G21" s="192">
        <f t="shared" si="0"/>
        <v>2275</v>
      </c>
      <c r="H21" s="441">
        <f>G21/G30</f>
        <v>0.07698815566835872</v>
      </c>
    </row>
    <row r="22" spans="1:8" ht="15" customHeight="1">
      <c r="A22" s="403">
        <v>16</v>
      </c>
      <c r="B22" s="404" t="s">
        <v>89</v>
      </c>
      <c r="C22" s="394">
        <v>0</v>
      </c>
      <c r="D22" s="192">
        <v>0</v>
      </c>
      <c r="E22" s="193">
        <v>0</v>
      </c>
      <c r="F22" s="193">
        <v>3244</v>
      </c>
      <c r="G22" s="175">
        <f t="shared" si="0"/>
        <v>3244</v>
      </c>
      <c r="H22" s="441">
        <f>G22/G30</f>
        <v>0.10978003384094755</v>
      </c>
    </row>
    <row r="23" spans="1:8" ht="24" customHeight="1">
      <c r="A23" s="405">
        <v>17</v>
      </c>
      <c r="B23" s="404" t="s">
        <v>90</v>
      </c>
      <c r="C23" s="394">
        <v>0</v>
      </c>
      <c r="D23" s="192">
        <v>0</v>
      </c>
      <c r="E23" s="193">
        <v>0</v>
      </c>
      <c r="F23" s="193">
        <v>383</v>
      </c>
      <c r="G23" s="192">
        <f t="shared" si="0"/>
        <v>383</v>
      </c>
      <c r="H23" s="441">
        <f>G23/G30</f>
        <v>0.012961082910321489</v>
      </c>
    </row>
    <row r="24" spans="1:8" ht="17.25" customHeight="1">
      <c r="A24" s="403">
        <v>18</v>
      </c>
      <c r="B24" s="406" t="s">
        <v>91</v>
      </c>
      <c r="C24" s="394">
        <v>0</v>
      </c>
      <c r="D24" s="192">
        <v>0</v>
      </c>
      <c r="E24" s="193">
        <v>2</v>
      </c>
      <c r="F24" s="193">
        <v>282</v>
      </c>
      <c r="G24" s="192">
        <f t="shared" si="0"/>
        <v>284</v>
      </c>
      <c r="H24" s="441">
        <f>G24/G30</f>
        <v>0.00961082910321489</v>
      </c>
    </row>
    <row r="25" spans="1:8" ht="15.75" customHeight="1">
      <c r="A25" s="403">
        <v>19</v>
      </c>
      <c r="B25" s="406" t="s">
        <v>92</v>
      </c>
      <c r="C25" s="394">
        <v>0</v>
      </c>
      <c r="D25" s="192">
        <v>0</v>
      </c>
      <c r="E25" s="193">
        <v>1</v>
      </c>
      <c r="F25" s="193">
        <v>598</v>
      </c>
      <c r="G25" s="192">
        <f t="shared" si="0"/>
        <v>599</v>
      </c>
      <c r="H25" s="441">
        <f>G25/G30</f>
        <v>0.02027072758037225</v>
      </c>
    </row>
    <row r="26" spans="1:8" ht="24" customHeight="1">
      <c r="A26" s="405">
        <v>20</v>
      </c>
      <c r="B26" s="406" t="s">
        <v>93</v>
      </c>
      <c r="C26" s="394">
        <v>0</v>
      </c>
      <c r="D26" s="192">
        <v>0</v>
      </c>
      <c r="E26" s="193">
        <v>0</v>
      </c>
      <c r="F26" s="193">
        <v>45</v>
      </c>
      <c r="G26" s="196">
        <f t="shared" si="0"/>
        <v>45</v>
      </c>
      <c r="H26" s="441">
        <f>G26/G30</f>
        <v>0.0015228426395939086</v>
      </c>
    </row>
    <row r="27" spans="1:8" ht="16.5" customHeight="1">
      <c r="A27" s="403">
        <v>21</v>
      </c>
      <c r="B27" s="406" t="s">
        <v>94</v>
      </c>
      <c r="C27" s="394">
        <v>0</v>
      </c>
      <c r="D27" s="192">
        <v>0</v>
      </c>
      <c r="E27" s="193">
        <v>0</v>
      </c>
      <c r="F27" s="193">
        <v>21</v>
      </c>
      <c r="G27" s="192">
        <f t="shared" si="0"/>
        <v>21</v>
      </c>
      <c r="H27" s="441">
        <f>G27/G30</f>
        <v>0.0007106598984771574</v>
      </c>
    </row>
    <row r="28" spans="1:8" ht="14.25" customHeight="1">
      <c r="A28" s="403">
        <v>22</v>
      </c>
      <c r="B28" s="407" t="s">
        <v>95</v>
      </c>
      <c r="C28" s="394">
        <v>0</v>
      </c>
      <c r="D28" s="192">
        <v>0</v>
      </c>
      <c r="E28" s="193">
        <v>0</v>
      </c>
      <c r="F28" s="193">
        <v>2439</v>
      </c>
      <c r="G28" s="192">
        <f t="shared" si="0"/>
        <v>2439</v>
      </c>
      <c r="H28" s="441">
        <f>G28/G30</f>
        <v>0.08253807106598984</v>
      </c>
    </row>
    <row r="29" spans="1:8" ht="15" customHeight="1" thickBot="1">
      <c r="A29" s="423">
        <v>23</v>
      </c>
      <c r="B29" s="408" t="s">
        <v>96</v>
      </c>
      <c r="C29" s="396">
        <v>0</v>
      </c>
      <c r="D29" s="196">
        <v>0</v>
      </c>
      <c r="E29" s="197">
        <v>0</v>
      </c>
      <c r="F29" s="197">
        <v>4</v>
      </c>
      <c r="G29" s="271">
        <f t="shared" si="0"/>
        <v>4</v>
      </c>
      <c r="H29" s="442">
        <f>G29/G30</f>
        <v>0.00013536379018612522</v>
      </c>
    </row>
    <row r="30" spans="1:8" ht="24" customHeight="1" thickBot="1">
      <c r="A30" s="424"/>
      <c r="B30" s="410" t="s">
        <v>6</v>
      </c>
      <c r="C30" s="397">
        <f aca="true" t="shared" si="1" ref="C30:H30">SUM(C7:C29)</f>
        <v>12</v>
      </c>
      <c r="D30" s="198">
        <f t="shared" si="1"/>
        <v>0</v>
      </c>
      <c r="E30" s="198">
        <f t="shared" si="1"/>
        <v>303</v>
      </c>
      <c r="F30" s="198">
        <f t="shared" si="1"/>
        <v>29235</v>
      </c>
      <c r="G30" s="199">
        <f t="shared" si="1"/>
        <v>29550</v>
      </c>
      <c r="H30" s="427">
        <f t="shared" si="1"/>
        <v>1.0000000000000002</v>
      </c>
    </row>
    <row r="31" spans="1:7" ht="12.75">
      <c r="A31" s="207"/>
      <c r="B31" s="208"/>
      <c r="C31" s="209"/>
      <c r="D31" s="209"/>
      <c r="E31" s="209"/>
      <c r="F31" s="209"/>
      <c r="G31" s="209"/>
    </row>
    <row r="32" spans="1:6" ht="12.75">
      <c r="A32" s="102" t="s">
        <v>129</v>
      </c>
      <c r="B32" s="102"/>
      <c r="F32" s="253" t="s">
        <v>15</v>
      </c>
    </row>
    <row r="33" spans="1:6" ht="12.75">
      <c r="A33" s="604">
        <v>41582</v>
      </c>
      <c r="B33" s="604"/>
      <c r="F33" s="253" t="s">
        <v>97</v>
      </c>
    </row>
  </sheetData>
  <sheetProtection/>
  <mergeCells count="8">
    <mergeCell ref="H5:H6"/>
    <mergeCell ref="C4:H4"/>
    <mergeCell ref="A33:B33"/>
    <mergeCell ref="A2:G2"/>
    <mergeCell ref="A3:C3"/>
    <mergeCell ref="C5:D5"/>
    <mergeCell ref="E5:F5"/>
    <mergeCell ref="G5:G6"/>
  </mergeCells>
  <printOptions/>
  <pageMargins left="0.31496062992125984" right="0.31496062992125984" top="0.35433070866141736" bottom="0.15748031496062992"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H34"/>
  <sheetViews>
    <sheetView zoomScalePageLayoutView="0" workbookViewId="0" topLeftCell="A10">
      <selection activeCell="F27" sqref="F27"/>
    </sheetView>
  </sheetViews>
  <sheetFormatPr defaultColWidth="9.140625" defaultRowHeight="12.75"/>
  <cols>
    <col min="1" max="1" width="5.421875" style="0" customWidth="1"/>
    <col min="2" max="2" width="53.28125" style="0" customWidth="1"/>
    <col min="3" max="7" width="12.7109375" style="0" customWidth="1"/>
    <col min="8" max="8" width="11.140625" style="0" customWidth="1"/>
  </cols>
  <sheetData>
    <row r="1" spans="1:2" ht="12.75">
      <c r="A1" s="287" t="s">
        <v>140</v>
      </c>
      <c r="B1" s="43"/>
    </row>
    <row r="2" spans="1:7" ht="30.75" customHeight="1">
      <c r="A2" s="605" t="s">
        <v>141</v>
      </c>
      <c r="B2" s="605"/>
      <c r="C2" s="605"/>
      <c r="D2" s="605"/>
      <c r="E2" s="605"/>
      <c r="F2" s="605"/>
      <c r="G2" s="605"/>
    </row>
    <row r="3" spans="1:3" ht="11.25" customHeight="1" thickBot="1">
      <c r="A3" s="586"/>
      <c r="B3" s="586"/>
      <c r="C3" s="586"/>
    </row>
    <row r="4" spans="1:8" ht="14.25" customHeight="1">
      <c r="A4" s="398"/>
      <c r="B4" s="399"/>
      <c r="C4" s="590" t="s">
        <v>66</v>
      </c>
      <c r="D4" s="591"/>
      <c r="E4" s="591"/>
      <c r="F4" s="591"/>
      <c r="G4" s="591"/>
      <c r="H4" s="600"/>
    </row>
    <row r="5" spans="1:8" ht="13.5" customHeight="1">
      <c r="A5" s="400" t="s">
        <v>67</v>
      </c>
      <c r="B5" s="401" t="s">
        <v>68</v>
      </c>
      <c r="C5" s="592" t="s">
        <v>69</v>
      </c>
      <c r="D5" s="593"/>
      <c r="E5" s="594" t="s">
        <v>70</v>
      </c>
      <c r="F5" s="594"/>
      <c r="G5" s="595" t="s">
        <v>6</v>
      </c>
      <c r="H5" s="602" t="s">
        <v>144</v>
      </c>
    </row>
    <row r="6" spans="1:8" ht="24" customHeight="1" thickBot="1">
      <c r="A6" s="431"/>
      <c r="B6" s="431"/>
      <c r="C6" s="422" t="s">
        <v>71</v>
      </c>
      <c r="D6" s="318" t="s">
        <v>72</v>
      </c>
      <c r="E6" s="318" t="s">
        <v>72</v>
      </c>
      <c r="F6" s="318" t="s">
        <v>73</v>
      </c>
      <c r="G6" s="596"/>
      <c r="H6" s="603"/>
    </row>
    <row r="7" spans="1:8" ht="14.25" customHeight="1">
      <c r="A7" s="433">
        <v>1</v>
      </c>
      <c r="B7" s="434" t="s">
        <v>74</v>
      </c>
      <c r="C7" s="420">
        <v>0</v>
      </c>
      <c r="D7" s="240">
        <v>0</v>
      </c>
      <c r="E7" s="265">
        <v>0</v>
      </c>
      <c r="F7" s="265">
        <v>168</v>
      </c>
      <c r="G7" s="240">
        <f>SUM(C7+D7+E7+F7)</f>
        <v>168</v>
      </c>
      <c r="H7" s="439">
        <f>G7/G30</f>
        <v>0.0062008636917284905</v>
      </c>
    </row>
    <row r="8" spans="1:8" ht="14.25" customHeight="1">
      <c r="A8" s="403">
        <v>2</v>
      </c>
      <c r="B8" s="404" t="s">
        <v>75</v>
      </c>
      <c r="C8" s="394">
        <v>0</v>
      </c>
      <c r="D8" s="192">
        <v>0</v>
      </c>
      <c r="E8" s="193">
        <v>0</v>
      </c>
      <c r="F8" s="193">
        <v>72</v>
      </c>
      <c r="G8" s="192">
        <f>SUM(C8+D8+E8+F8)</f>
        <v>72</v>
      </c>
      <c r="H8" s="323">
        <f>G8/G30</f>
        <v>0.0026575130107407818</v>
      </c>
    </row>
    <row r="9" spans="1:8" ht="12.75" customHeight="1">
      <c r="A9" s="403">
        <v>3</v>
      </c>
      <c r="B9" s="404" t="s">
        <v>76</v>
      </c>
      <c r="C9" s="394">
        <v>18</v>
      </c>
      <c r="D9" s="192">
        <v>0</v>
      </c>
      <c r="E9" s="193">
        <v>0</v>
      </c>
      <c r="F9" s="193">
        <f>2929+5</f>
        <v>2934</v>
      </c>
      <c r="G9" s="192">
        <f aca="true" t="shared" si="0" ref="G9:G29">SUM(C9+D9+E9+F9)</f>
        <v>2952</v>
      </c>
      <c r="H9" s="323">
        <f>G9/G30</f>
        <v>0.10895803344037205</v>
      </c>
    </row>
    <row r="10" spans="1:8" ht="15" customHeight="1">
      <c r="A10" s="403">
        <v>4</v>
      </c>
      <c r="B10" s="404" t="s">
        <v>77</v>
      </c>
      <c r="C10" s="395">
        <v>0</v>
      </c>
      <c r="D10" s="194">
        <v>0</v>
      </c>
      <c r="E10" s="195">
        <v>0</v>
      </c>
      <c r="F10" s="179">
        <v>26</v>
      </c>
      <c r="G10" s="175">
        <f t="shared" si="0"/>
        <v>26</v>
      </c>
      <c r="H10" s="323">
        <f>G10/G30</f>
        <v>0.0009596574761008378</v>
      </c>
    </row>
    <row r="11" spans="1:8" ht="24" customHeight="1">
      <c r="A11" s="403">
        <v>5</v>
      </c>
      <c r="B11" s="404" t="s">
        <v>78</v>
      </c>
      <c r="C11" s="394">
        <v>0</v>
      </c>
      <c r="D11" s="192">
        <v>0</v>
      </c>
      <c r="E11" s="193">
        <v>0</v>
      </c>
      <c r="F11" s="193">
        <v>11</v>
      </c>
      <c r="G11" s="175">
        <f t="shared" si="0"/>
        <v>11</v>
      </c>
      <c r="H11" s="323">
        <f>G11/G30</f>
        <v>0.0004060089321965083</v>
      </c>
    </row>
    <row r="12" spans="1:8" ht="12.75" customHeight="1">
      <c r="A12" s="403">
        <v>6</v>
      </c>
      <c r="B12" s="404" t="s">
        <v>79</v>
      </c>
      <c r="C12" s="395">
        <v>0</v>
      </c>
      <c r="D12" s="175">
        <v>0</v>
      </c>
      <c r="E12" s="179">
        <v>10</v>
      </c>
      <c r="F12" s="179">
        <f>4510+10</f>
        <v>4520</v>
      </c>
      <c r="G12" s="175">
        <f t="shared" si="0"/>
        <v>4530</v>
      </c>
      <c r="H12" s="323">
        <f>G12/G30</f>
        <v>0.16720186025910752</v>
      </c>
    </row>
    <row r="13" spans="1:8" ht="24" customHeight="1">
      <c r="A13" s="403">
        <v>7</v>
      </c>
      <c r="B13" s="404" t="s">
        <v>80</v>
      </c>
      <c r="C13" s="395">
        <v>0</v>
      </c>
      <c r="D13" s="175">
        <v>1</v>
      </c>
      <c r="E13" s="179">
        <v>7</v>
      </c>
      <c r="F13" s="179">
        <f>5512+3</f>
        <v>5515</v>
      </c>
      <c r="G13" s="175">
        <f t="shared" si="0"/>
        <v>5523</v>
      </c>
      <c r="H13" s="323">
        <f>G13/G30</f>
        <v>0.20385339386557413</v>
      </c>
    </row>
    <row r="14" spans="1:8" ht="14.25" customHeight="1">
      <c r="A14" s="403">
        <v>8</v>
      </c>
      <c r="B14" s="404" t="s">
        <v>81</v>
      </c>
      <c r="C14" s="395">
        <v>0</v>
      </c>
      <c r="D14" s="175">
        <v>0</v>
      </c>
      <c r="E14" s="175">
        <v>0</v>
      </c>
      <c r="F14" s="179">
        <f>794+1</f>
        <v>795</v>
      </c>
      <c r="G14" s="175">
        <f t="shared" si="0"/>
        <v>795</v>
      </c>
      <c r="H14" s="323">
        <f>G14/G30</f>
        <v>0.029343372826929465</v>
      </c>
    </row>
    <row r="15" spans="1:8" ht="24" customHeight="1">
      <c r="A15" s="403">
        <v>9</v>
      </c>
      <c r="B15" s="404" t="s">
        <v>82</v>
      </c>
      <c r="C15" s="394">
        <v>0</v>
      </c>
      <c r="D15" s="192">
        <v>1</v>
      </c>
      <c r="E15" s="175">
        <v>476</v>
      </c>
      <c r="F15" s="193">
        <f>1435+7</f>
        <v>1442</v>
      </c>
      <c r="G15" s="175">
        <f t="shared" si="0"/>
        <v>1919</v>
      </c>
      <c r="H15" s="323">
        <f>G15/G30</f>
        <v>0.07083010371682723</v>
      </c>
    </row>
    <row r="16" spans="1:8" ht="15" customHeight="1">
      <c r="A16" s="403">
        <v>10</v>
      </c>
      <c r="B16" s="404" t="s">
        <v>83</v>
      </c>
      <c r="C16" s="394">
        <v>0</v>
      </c>
      <c r="D16" s="192">
        <v>0</v>
      </c>
      <c r="E16" s="193">
        <v>0</v>
      </c>
      <c r="F16" s="193">
        <f>456+1</f>
        <v>457</v>
      </c>
      <c r="G16" s="192">
        <f t="shared" si="0"/>
        <v>457</v>
      </c>
      <c r="H16" s="323">
        <f>G16/G30</f>
        <v>0.016867825637618572</v>
      </c>
    </row>
    <row r="17" spans="1:8" ht="15" customHeight="1">
      <c r="A17" s="403">
        <v>11</v>
      </c>
      <c r="B17" s="404" t="s">
        <v>84</v>
      </c>
      <c r="C17" s="394">
        <v>0</v>
      </c>
      <c r="D17" s="192">
        <v>0</v>
      </c>
      <c r="E17" s="193">
        <v>0</v>
      </c>
      <c r="F17" s="179">
        <f>2126+1</f>
        <v>2127</v>
      </c>
      <c r="G17" s="175">
        <f t="shared" si="0"/>
        <v>2127</v>
      </c>
      <c r="H17" s="323">
        <f>G17/G30</f>
        <v>0.07850736352563392</v>
      </c>
    </row>
    <row r="18" spans="1:8" ht="15" customHeight="1">
      <c r="A18" s="403">
        <v>12</v>
      </c>
      <c r="B18" s="404" t="s">
        <v>85</v>
      </c>
      <c r="C18" s="394">
        <v>0</v>
      </c>
      <c r="D18" s="192">
        <v>0</v>
      </c>
      <c r="E18" s="193">
        <v>0</v>
      </c>
      <c r="F18" s="193">
        <f>157+1</f>
        <v>158</v>
      </c>
      <c r="G18" s="192">
        <f t="shared" si="0"/>
        <v>158</v>
      </c>
      <c r="H18" s="323">
        <f>G18/G30</f>
        <v>0.005831764662458938</v>
      </c>
    </row>
    <row r="19" spans="1:8" ht="15" customHeight="1">
      <c r="A19" s="403">
        <v>13</v>
      </c>
      <c r="B19" s="404" t="s">
        <v>86</v>
      </c>
      <c r="C19" s="394">
        <v>0</v>
      </c>
      <c r="D19" s="192">
        <v>0</v>
      </c>
      <c r="E19" s="193">
        <v>0</v>
      </c>
      <c r="F19" s="193">
        <f>1260+3</f>
        <v>1263</v>
      </c>
      <c r="G19" s="192">
        <f t="shared" si="0"/>
        <v>1263</v>
      </c>
      <c r="H19" s="323">
        <f>G19/G30</f>
        <v>0.04661720739674455</v>
      </c>
    </row>
    <row r="20" spans="1:8" ht="14.25" customHeight="1">
      <c r="A20" s="403">
        <v>14</v>
      </c>
      <c r="B20" s="404" t="s">
        <v>87</v>
      </c>
      <c r="C20" s="394">
        <v>0</v>
      </c>
      <c r="D20" s="192">
        <v>0</v>
      </c>
      <c r="E20" s="193">
        <v>0</v>
      </c>
      <c r="F20" s="193">
        <f>485+2</f>
        <v>487</v>
      </c>
      <c r="G20" s="192">
        <f t="shared" si="0"/>
        <v>487</v>
      </c>
      <c r="H20" s="323">
        <f>G20/G30</f>
        <v>0.017975122725427232</v>
      </c>
    </row>
    <row r="21" spans="1:8" ht="13.5" customHeight="1">
      <c r="A21" s="405">
        <v>15</v>
      </c>
      <c r="B21" s="404" t="s">
        <v>88</v>
      </c>
      <c r="C21" s="394">
        <v>0</v>
      </c>
      <c r="D21" s="192">
        <v>0</v>
      </c>
      <c r="E21" s="193">
        <v>0</v>
      </c>
      <c r="F21" s="193">
        <f>1266+2</f>
        <v>1268</v>
      </c>
      <c r="G21" s="316">
        <f t="shared" si="0"/>
        <v>1268</v>
      </c>
      <c r="H21" s="323">
        <f>G21/G30</f>
        <v>0.046801756911379326</v>
      </c>
    </row>
    <row r="22" spans="1:8" ht="15" customHeight="1">
      <c r="A22" s="403">
        <v>16</v>
      </c>
      <c r="B22" s="404" t="s">
        <v>89</v>
      </c>
      <c r="C22" s="394">
        <v>0</v>
      </c>
      <c r="D22" s="192">
        <v>0</v>
      </c>
      <c r="E22" s="193">
        <v>0</v>
      </c>
      <c r="F22" s="193">
        <f>1605+1</f>
        <v>1606</v>
      </c>
      <c r="G22" s="317">
        <f t="shared" si="0"/>
        <v>1606</v>
      </c>
      <c r="H22" s="323">
        <f>G22/G30</f>
        <v>0.059277304100690216</v>
      </c>
    </row>
    <row r="23" spans="1:8" ht="24" customHeight="1">
      <c r="A23" s="405">
        <v>17</v>
      </c>
      <c r="B23" s="404" t="s">
        <v>90</v>
      </c>
      <c r="C23" s="394">
        <v>0</v>
      </c>
      <c r="D23" s="192">
        <v>0</v>
      </c>
      <c r="E23" s="193">
        <v>0</v>
      </c>
      <c r="F23" s="193">
        <f>382+1</f>
        <v>383</v>
      </c>
      <c r="G23" s="316">
        <f t="shared" si="0"/>
        <v>383</v>
      </c>
      <c r="H23" s="323">
        <f>G23/G30</f>
        <v>0.014136492821023881</v>
      </c>
    </row>
    <row r="24" spans="1:8" ht="17.25" customHeight="1">
      <c r="A24" s="403">
        <v>18</v>
      </c>
      <c r="B24" s="406" t="s">
        <v>91</v>
      </c>
      <c r="C24" s="394">
        <v>0</v>
      </c>
      <c r="D24" s="192">
        <v>0</v>
      </c>
      <c r="E24" s="193">
        <v>2</v>
      </c>
      <c r="F24" s="193">
        <f>258+1</f>
        <v>259</v>
      </c>
      <c r="G24" s="316">
        <f t="shared" si="0"/>
        <v>261</v>
      </c>
      <c r="H24" s="323">
        <f>G24/G30</f>
        <v>0.009633484663935333</v>
      </c>
    </row>
    <row r="25" spans="1:8" ht="15.75" customHeight="1">
      <c r="A25" s="403">
        <v>19</v>
      </c>
      <c r="B25" s="406" t="s">
        <v>92</v>
      </c>
      <c r="C25" s="394">
        <v>0</v>
      </c>
      <c r="D25" s="192">
        <v>0</v>
      </c>
      <c r="E25" s="193">
        <v>4</v>
      </c>
      <c r="F25" s="193">
        <f>429</f>
        <v>429</v>
      </c>
      <c r="G25" s="316">
        <f t="shared" si="0"/>
        <v>433</v>
      </c>
      <c r="H25" s="323">
        <f>G25/G30</f>
        <v>0.015981987967371644</v>
      </c>
    </row>
    <row r="26" spans="1:8" ht="24" customHeight="1">
      <c r="A26" s="405">
        <v>20</v>
      </c>
      <c r="B26" s="406" t="s">
        <v>93</v>
      </c>
      <c r="C26" s="394">
        <v>0</v>
      </c>
      <c r="D26" s="192">
        <v>0</v>
      </c>
      <c r="E26" s="193">
        <v>0</v>
      </c>
      <c r="F26" s="193">
        <v>41</v>
      </c>
      <c r="G26" s="319">
        <f t="shared" si="0"/>
        <v>41</v>
      </c>
      <c r="H26" s="323">
        <f>G26/G30</f>
        <v>0.0015133060200051673</v>
      </c>
    </row>
    <row r="27" spans="1:8" ht="16.5" customHeight="1">
      <c r="A27" s="403">
        <v>21</v>
      </c>
      <c r="B27" s="406" t="s">
        <v>94</v>
      </c>
      <c r="C27" s="394">
        <v>0</v>
      </c>
      <c r="D27" s="192">
        <v>0</v>
      </c>
      <c r="E27" s="193">
        <v>0</v>
      </c>
      <c r="F27" s="193">
        <v>20</v>
      </c>
      <c r="G27" s="316">
        <f t="shared" si="0"/>
        <v>20</v>
      </c>
      <c r="H27" s="323">
        <f>G27/G30</f>
        <v>0.0007381980585391061</v>
      </c>
    </row>
    <row r="28" spans="1:8" ht="14.25" customHeight="1">
      <c r="A28" s="403">
        <v>22</v>
      </c>
      <c r="B28" s="407" t="s">
        <v>95</v>
      </c>
      <c r="C28" s="394">
        <v>0</v>
      </c>
      <c r="D28" s="192">
        <v>1</v>
      </c>
      <c r="E28" s="193">
        <v>5</v>
      </c>
      <c r="F28" s="193">
        <f>2577+10</f>
        <v>2587</v>
      </c>
      <c r="G28" s="316">
        <f t="shared" si="0"/>
        <v>2593</v>
      </c>
      <c r="H28" s="323">
        <f>G28/G30</f>
        <v>0.0957073782895951</v>
      </c>
    </row>
    <row r="29" spans="1:8" ht="15" customHeight="1" thickBot="1">
      <c r="A29" s="409">
        <v>23</v>
      </c>
      <c r="B29" s="445" t="s">
        <v>96</v>
      </c>
      <c r="C29" s="443">
        <v>0</v>
      </c>
      <c r="D29" s="271">
        <v>0</v>
      </c>
      <c r="E29" s="308">
        <v>0</v>
      </c>
      <c r="F29" s="308">
        <v>0</v>
      </c>
      <c r="G29" s="320">
        <f t="shared" si="0"/>
        <v>0</v>
      </c>
      <c r="H29" s="435">
        <f>G29/G30</f>
        <v>0</v>
      </c>
    </row>
    <row r="30" spans="1:8" ht="24" customHeight="1" thickBot="1">
      <c r="A30" s="448"/>
      <c r="B30" s="449" t="s">
        <v>6</v>
      </c>
      <c r="C30" s="444">
        <f aca="true" t="shared" si="1" ref="C30:H30">SUM(C7:C29)</f>
        <v>18</v>
      </c>
      <c r="D30" s="306">
        <f t="shared" si="1"/>
        <v>3</v>
      </c>
      <c r="E30" s="306">
        <f t="shared" si="1"/>
        <v>504</v>
      </c>
      <c r="F30" s="306">
        <f t="shared" si="1"/>
        <v>26568</v>
      </c>
      <c r="G30" s="307">
        <f t="shared" si="1"/>
        <v>27093</v>
      </c>
      <c r="H30" s="427">
        <f t="shared" si="1"/>
        <v>1</v>
      </c>
    </row>
    <row r="31" spans="1:7" ht="12.75">
      <c r="A31" s="207"/>
      <c r="B31" s="208"/>
      <c r="C31" s="209"/>
      <c r="D31" s="209"/>
      <c r="E31" s="209"/>
      <c r="F31" s="209"/>
      <c r="G31" s="209"/>
    </row>
    <row r="32" spans="1:6" ht="12.75">
      <c r="A32" s="102"/>
      <c r="B32" s="102"/>
      <c r="F32" s="253" t="s">
        <v>15</v>
      </c>
    </row>
    <row r="33" spans="1:6" ht="12.75">
      <c r="A33" s="606">
        <v>41626</v>
      </c>
      <c r="B33" s="606"/>
      <c r="F33" s="253" t="s">
        <v>97</v>
      </c>
    </row>
    <row r="34" ht="12.75">
      <c r="B34" s="309"/>
    </row>
  </sheetData>
  <sheetProtection/>
  <mergeCells count="8">
    <mergeCell ref="H5:H6"/>
    <mergeCell ref="C4:H4"/>
    <mergeCell ref="A33:B33"/>
    <mergeCell ref="A2:G2"/>
    <mergeCell ref="A3:C3"/>
    <mergeCell ref="C5:D5"/>
    <mergeCell ref="E5:F5"/>
    <mergeCell ref="G5:G6"/>
  </mergeCells>
  <printOptions/>
  <pageMargins left="0.7086614173228347" right="0.7086614173228347" top="0.35433070866141736" bottom="0.15748031496062992" header="0.31496062992125984" footer="0.3149606299212598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H34"/>
  <sheetViews>
    <sheetView zoomScalePageLayoutView="0" workbookViewId="0" topLeftCell="A10">
      <selection activeCell="C7" sqref="C7:F29"/>
    </sheetView>
  </sheetViews>
  <sheetFormatPr defaultColWidth="9.140625" defaultRowHeight="12.75"/>
  <cols>
    <col min="1" max="1" width="5.421875" style="0" customWidth="1"/>
    <col min="2" max="2" width="53.421875" style="0" customWidth="1"/>
    <col min="3" max="7" width="12.7109375" style="0" customWidth="1"/>
    <col min="8" max="8" width="12.28125" style="0" customWidth="1"/>
  </cols>
  <sheetData>
    <row r="1" spans="1:2" ht="12.75">
      <c r="A1" s="287" t="s">
        <v>143</v>
      </c>
      <c r="B1" s="43"/>
    </row>
    <row r="2" spans="1:7" ht="30.75" customHeight="1">
      <c r="A2" s="605" t="s">
        <v>142</v>
      </c>
      <c r="B2" s="605"/>
      <c r="C2" s="605"/>
      <c r="D2" s="605"/>
      <c r="E2" s="605"/>
      <c r="F2" s="605"/>
      <c r="G2" s="605"/>
    </row>
    <row r="3" spans="1:3" ht="11.25" customHeight="1" thickBot="1">
      <c r="A3" s="586"/>
      <c r="B3" s="586"/>
      <c r="C3" s="586"/>
    </row>
    <row r="4" spans="1:8" ht="14.25" customHeight="1">
      <c r="A4" s="398"/>
      <c r="B4" s="399"/>
      <c r="C4" s="597" t="s">
        <v>66</v>
      </c>
      <c r="D4" s="591"/>
      <c r="E4" s="591"/>
      <c r="F4" s="591"/>
      <c r="G4" s="591"/>
      <c r="H4" s="600"/>
    </row>
    <row r="5" spans="1:8" ht="13.5" customHeight="1">
      <c r="A5" s="400" t="s">
        <v>67</v>
      </c>
      <c r="B5" s="401" t="s">
        <v>68</v>
      </c>
      <c r="C5" s="581" t="s">
        <v>69</v>
      </c>
      <c r="D5" s="593"/>
      <c r="E5" s="594" t="s">
        <v>70</v>
      </c>
      <c r="F5" s="594"/>
      <c r="G5" s="595" t="s">
        <v>6</v>
      </c>
      <c r="H5" s="602" t="s">
        <v>144</v>
      </c>
    </row>
    <row r="6" spans="1:8" ht="24" customHeight="1" thickBot="1">
      <c r="A6" s="431"/>
      <c r="B6" s="431"/>
      <c r="C6" s="446" t="s">
        <v>71</v>
      </c>
      <c r="D6" s="318" t="s">
        <v>72</v>
      </c>
      <c r="E6" s="318" t="s">
        <v>72</v>
      </c>
      <c r="F6" s="318" t="s">
        <v>73</v>
      </c>
      <c r="G6" s="596"/>
      <c r="H6" s="603"/>
    </row>
    <row r="7" spans="1:8" ht="14.25" customHeight="1">
      <c r="A7" s="433">
        <v>1</v>
      </c>
      <c r="B7" s="434" t="s">
        <v>74</v>
      </c>
      <c r="C7" s="420">
        <v>0</v>
      </c>
      <c r="D7" s="240">
        <v>0</v>
      </c>
      <c r="E7" s="265">
        <v>0</v>
      </c>
      <c r="F7" s="265">
        <v>154</v>
      </c>
      <c r="G7" s="237">
        <f>SUM(C7+D7+E7+F7)</f>
        <v>154</v>
      </c>
      <c r="H7" s="322">
        <f>G7/G30</f>
        <v>0.004717703642434825</v>
      </c>
    </row>
    <row r="8" spans="1:8" ht="14.25" customHeight="1">
      <c r="A8" s="403">
        <v>2</v>
      </c>
      <c r="B8" s="404" t="s">
        <v>75</v>
      </c>
      <c r="C8" s="394">
        <v>0</v>
      </c>
      <c r="D8" s="192">
        <v>0</v>
      </c>
      <c r="E8" s="193">
        <v>0</v>
      </c>
      <c r="F8" s="193">
        <v>66</v>
      </c>
      <c r="G8" s="316">
        <f>SUM(C8+D8+E8+F8)</f>
        <v>66</v>
      </c>
      <c r="H8" s="323">
        <f>G8/G30</f>
        <v>0.0020218729896149252</v>
      </c>
    </row>
    <row r="9" spans="1:8" ht="12.75" customHeight="1">
      <c r="A9" s="403">
        <v>3</v>
      </c>
      <c r="B9" s="404" t="s">
        <v>76</v>
      </c>
      <c r="C9" s="394">
        <v>33</v>
      </c>
      <c r="D9" s="192">
        <v>0</v>
      </c>
      <c r="E9" s="193">
        <v>0</v>
      </c>
      <c r="F9" s="193">
        <f>2847+3</f>
        <v>2850</v>
      </c>
      <c r="G9" s="316">
        <f aca="true" t="shared" si="0" ref="G9:G29">SUM(C9+D9+E9+F9)</f>
        <v>2883</v>
      </c>
      <c r="H9" s="323">
        <f>G9/G30</f>
        <v>0.08831908831908832</v>
      </c>
    </row>
    <row r="10" spans="1:8" ht="15" customHeight="1">
      <c r="A10" s="403">
        <v>4</v>
      </c>
      <c r="B10" s="404" t="s">
        <v>77</v>
      </c>
      <c r="C10" s="395">
        <v>0</v>
      </c>
      <c r="D10" s="194">
        <v>0</v>
      </c>
      <c r="E10" s="195">
        <v>0</v>
      </c>
      <c r="F10" s="179">
        <v>42</v>
      </c>
      <c r="G10" s="317">
        <f t="shared" si="0"/>
        <v>42</v>
      </c>
      <c r="H10" s="323">
        <f>G10/G30</f>
        <v>0.0012866464479367706</v>
      </c>
    </row>
    <row r="11" spans="1:8" ht="24" customHeight="1">
      <c r="A11" s="403">
        <v>5</v>
      </c>
      <c r="B11" s="404" t="s">
        <v>78</v>
      </c>
      <c r="C11" s="394">
        <v>0</v>
      </c>
      <c r="D11" s="192">
        <v>0</v>
      </c>
      <c r="E11" s="193">
        <v>0</v>
      </c>
      <c r="F11" s="193">
        <v>10</v>
      </c>
      <c r="G11" s="317">
        <f t="shared" si="0"/>
        <v>10</v>
      </c>
      <c r="H11" s="323">
        <f>G11/G30</f>
        <v>0.00030634439236589775</v>
      </c>
    </row>
    <row r="12" spans="1:8" ht="12.75" customHeight="1">
      <c r="A12" s="403">
        <v>6</v>
      </c>
      <c r="B12" s="404" t="s">
        <v>79</v>
      </c>
      <c r="C12" s="395">
        <v>0</v>
      </c>
      <c r="D12" s="175">
        <v>3</v>
      </c>
      <c r="E12" s="179">
        <v>15</v>
      </c>
      <c r="F12" s="179">
        <f>4320+8</f>
        <v>4328</v>
      </c>
      <c r="G12" s="317">
        <f t="shared" si="0"/>
        <v>4346</v>
      </c>
      <c r="H12" s="323">
        <f>G12/G30</f>
        <v>0.13313727292221916</v>
      </c>
    </row>
    <row r="13" spans="1:8" ht="24" customHeight="1">
      <c r="A13" s="403">
        <v>7</v>
      </c>
      <c r="B13" s="404" t="s">
        <v>80</v>
      </c>
      <c r="C13" s="395">
        <v>0</v>
      </c>
      <c r="D13" s="175">
        <v>182</v>
      </c>
      <c r="E13" s="179">
        <v>22</v>
      </c>
      <c r="F13" s="179">
        <f>5433+2</f>
        <v>5435</v>
      </c>
      <c r="G13" s="317">
        <f t="shared" si="0"/>
        <v>5639</v>
      </c>
      <c r="H13" s="323">
        <f>G13/G30</f>
        <v>0.17274760285512974</v>
      </c>
    </row>
    <row r="14" spans="1:8" ht="14.25" customHeight="1">
      <c r="A14" s="403">
        <v>8</v>
      </c>
      <c r="B14" s="404" t="s">
        <v>81</v>
      </c>
      <c r="C14" s="395">
        <v>0</v>
      </c>
      <c r="D14" s="175">
        <v>41</v>
      </c>
      <c r="E14" s="175">
        <v>2</v>
      </c>
      <c r="F14" s="179">
        <f>1165+1</f>
        <v>1166</v>
      </c>
      <c r="G14" s="317">
        <f t="shared" si="0"/>
        <v>1209</v>
      </c>
      <c r="H14" s="323">
        <f>G14/G30</f>
        <v>0.037037037037037035</v>
      </c>
    </row>
    <row r="15" spans="1:8" ht="24" customHeight="1">
      <c r="A15" s="403">
        <v>9</v>
      </c>
      <c r="B15" s="404" t="s">
        <v>82</v>
      </c>
      <c r="C15" s="394">
        <v>0</v>
      </c>
      <c r="D15" s="192">
        <v>2146</v>
      </c>
      <c r="E15" s="175">
        <v>3393</v>
      </c>
      <c r="F15" s="193">
        <f>2438+5</f>
        <v>2443</v>
      </c>
      <c r="G15" s="317">
        <f t="shared" si="0"/>
        <v>7982</v>
      </c>
      <c r="H15" s="323">
        <f>G15/G30</f>
        <v>0.24452409398645958</v>
      </c>
    </row>
    <row r="16" spans="1:8" ht="15" customHeight="1">
      <c r="A16" s="403">
        <v>10</v>
      </c>
      <c r="B16" s="404" t="s">
        <v>83</v>
      </c>
      <c r="C16" s="394">
        <v>0</v>
      </c>
      <c r="D16" s="192">
        <v>0</v>
      </c>
      <c r="E16" s="193">
        <v>1</v>
      </c>
      <c r="F16" s="193">
        <v>446</v>
      </c>
      <c r="G16" s="316">
        <f t="shared" si="0"/>
        <v>447</v>
      </c>
      <c r="H16" s="323">
        <f>G16/G30</f>
        <v>0.01369359433875563</v>
      </c>
    </row>
    <row r="17" spans="1:8" ht="15" customHeight="1">
      <c r="A17" s="403">
        <v>11</v>
      </c>
      <c r="B17" s="404" t="s">
        <v>84</v>
      </c>
      <c r="C17" s="394">
        <v>0</v>
      </c>
      <c r="D17" s="192">
        <v>1</v>
      </c>
      <c r="E17" s="193">
        <v>0</v>
      </c>
      <c r="F17" s="179">
        <f>2048+1</f>
        <v>2049</v>
      </c>
      <c r="G17" s="317">
        <f t="shared" si="0"/>
        <v>2050</v>
      </c>
      <c r="H17" s="323">
        <f>G17/G30</f>
        <v>0.06280060043500904</v>
      </c>
    </row>
    <row r="18" spans="1:8" ht="15" customHeight="1">
      <c r="A18" s="403">
        <v>12</v>
      </c>
      <c r="B18" s="404" t="s">
        <v>85</v>
      </c>
      <c r="C18" s="394">
        <v>0</v>
      </c>
      <c r="D18" s="192">
        <v>13</v>
      </c>
      <c r="E18" s="193">
        <v>7</v>
      </c>
      <c r="F18" s="193">
        <f>178</f>
        <v>178</v>
      </c>
      <c r="G18" s="316">
        <f t="shared" si="0"/>
        <v>198</v>
      </c>
      <c r="H18" s="323">
        <f>G18/G30</f>
        <v>0.006065618968844775</v>
      </c>
    </row>
    <row r="19" spans="1:8" ht="15" customHeight="1">
      <c r="A19" s="403">
        <v>13</v>
      </c>
      <c r="B19" s="404" t="s">
        <v>86</v>
      </c>
      <c r="C19" s="394">
        <v>0</v>
      </c>
      <c r="D19" s="192">
        <v>2</v>
      </c>
      <c r="E19" s="193">
        <v>0</v>
      </c>
      <c r="F19" s="193">
        <f>1199+3</f>
        <v>1202</v>
      </c>
      <c r="G19" s="316">
        <f t="shared" si="0"/>
        <v>1204</v>
      </c>
      <c r="H19" s="323">
        <f>G19/G30</f>
        <v>0.03688386484085409</v>
      </c>
    </row>
    <row r="20" spans="1:8" ht="14.25" customHeight="1">
      <c r="A20" s="403">
        <v>14</v>
      </c>
      <c r="B20" s="404" t="s">
        <v>87</v>
      </c>
      <c r="C20" s="394">
        <v>0</v>
      </c>
      <c r="D20" s="192">
        <v>66</v>
      </c>
      <c r="E20" s="193">
        <v>9</v>
      </c>
      <c r="F20" s="193">
        <v>663</v>
      </c>
      <c r="G20" s="316">
        <f t="shared" si="0"/>
        <v>738</v>
      </c>
      <c r="H20" s="323">
        <f>G20/G30</f>
        <v>0.022608216156603255</v>
      </c>
    </row>
    <row r="21" spans="1:8" ht="13.5" customHeight="1">
      <c r="A21" s="405">
        <v>15</v>
      </c>
      <c r="B21" s="404" t="s">
        <v>88</v>
      </c>
      <c r="C21" s="394">
        <v>0</v>
      </c>
      <c r="D21" s="192">
        <v>13</v>
      </c>
      <c r="E21" s="193">
        <v>0</v>
      </c>
      <c r="F21" s="193">
        <f>1101+2</f>
        <v>1103</v>
      </c>
      <c r="G21" s="316">
        <f t="shared" si="0"/>
        <v>1116</v>
      </c>
      <c r="H21" s="323">
        <f>G21/G30</f>
        <v>0.03418803418803419</v>
      </c>
    </row>
    <row r="22" spans="1:8" ht="15" customHeight="1">
      <c r="A22" s="403">
        <v>16</v>
      </c>
      <c r="B22" s="404" t="s">
        <v>89</v>
      </c>
      <c r="C22" s="394">
        <v>0</v>
      </c>
      <c r="D22" s="192">
        <v>10</v>
      </c>
      <c r="E22" s="193">
        <v>0</v>
      </c>
      <c r="F22" s="193">
        <f>667+1</f>
        <v>668</v>
      </c>
      <c r="G22" s="317">
        <f t="shared" si="0"/>
        <v>678</v>
      </c>
      <c r="H22" s="323">
        <f>G22/G30</f>
        <v>0.020770149802407867</v>
      </c>
    </row>
    <row r="23" spans="1:8" ht="24" customHeight="1">
      <c r="A23" s="405">
        <v>17</v>
      </c>
      <c r="B23" s="404" t="s">
        <v>90</v>
      </c>
      <c r="C23" s="394">
        <v>0</v>
      </c>
      <c r="D23" s="192">
        <v>0</v>
      </c>
      <c r="E23" s="193">
        <v>1</v>
      </c>
      <c r="F23" s="193">
        <f>390+1</f>
        <v>391</v>
      </c>
      <c r="G23" s="316">
        <f t="shared" si="0"/>
        <v>392</v>
      </c>
      <c r="H23" s="323">
        <f>G23/G30</f>
        <v>0.012008700180743192</v>
      </c>
    </row>
    <row r="24" spans="1:8" ht="17.25" customHeight="1">
      <c r="A24" s="403">
        <v>18</v>
      </c>
      <c r="B24" s="406" t="s">
        <v>91</v>
      </c>
      <c r="C24" s="394">
        <v>0</v>
      </c>
      <c r="D24" s="192">
        <v>49</v>
      </c>
      <c r="E24" s="193">
        <v>5</v>
      </c>
      <c r="F24" s="193">
        <v>355</v>
      </c>
      <c r="G24" s="316">
        <f t="shared" si="0"/>
        <v>409</v>
      </c>
      <c r="H24" s="323">
        <f>G24/G30</f>
        <v>0.012529485647765218</v>
      </c>
    </row>
    <row r="25" spans="1:8" ht="15.75" customHeight="1">
      <c r="A25" s="403">
        <v>19</v>
      </c>
      <c r="B25" s="406" t="s">
        <v>92</v>
      </c>
      <c r="C25" s="394">
        <v>0</v>
      </c>
      <c r="D25" s="192">
        <v>5</v>
      </c>
      <c r="E25" s="193">
        <v>12</v>
      </c>
      <c r="F25" s="193">
        <v>487</v>
      </c>
      <c r="G25" s="316">
        <f t="shared" si="0"/>
        <v>504</v>
      </c>
      <c r="H25" s="323">
        <f>G25/G30</f>
        <v>0.015439757375241246</v>
      </c>
    </row>
    <row r="26" spans="1:8" ht="24" customHeight="1">
      <c r="A26" s="405">
        <v>20</v>
      </c>
      <c r="B26" s="406" t="s">
        <v>93</v>
      </c>
      <c r="C26" s="394">
        <v>0</v>
      </c>
      <c r="D26" s="192">
        <v>0</v>
      </c>
      <c r="E26" s="193">
        <v>0</v>
      </c>
      <c r="F26" s="193">
        <v>41</v>
      </c>
      <c r="G26" s="319">
        <f t="shared" si="0"/>
        <v>41</v>
      </c>
      <c r="H26" s="323">
        <f>G26/G30</f>
        <v>0.0012560120087001807</v>
      </c>
    </row>
    <row r="27" spans="1:8" ht="16.5" customHeight="1">
      <c r="A27" s="403">
        <v>21</v>
      </c>
      <c r="B27" s="406" t="s">
        <v>94</v>
      </c>
      <c r="C27" s="394">
        <v>0</v>
      </c>
      <c r="D27" s="192">
        <v>0</v>
      </c>
      <c r="E27" s="193">
        <v>0</v>
      </c>
      <c r="F27" s="193">
        <v>17</v>
      </c>
      <c r="G27" s="316">
        <f t="shared" si="0"/>
        <v>17</v>
      </c>
      <c r="H27" s="323">
        <f>G27/G30</f>
        <v>0.0005207854670220261</v>
      </c>
    </row>
    <row r="28" spans="1:8" ht="14.25" customHeight="1">
      <c r="A28" s="403">
        <v>22</v>
      </c>
      <c r="B28" s="407" t="s">
        <v>95</v>
      </c>
      <c r="C28" s="394">
        <v>0</v>
      </c>
      <c r="D28" s="192">
        <v>0</v>
      </c>
      <c r="E28" s="193">
        <v>12</v>
      </c>
      <c r="F28" s="193">
        <f>2479+10</f>
        <v>2489</v>
      </c>
      <c r="G28" s="316">
        <f t="shared" si="0"/>
        <v>2501</v>
      </c>
      <c r="H28" s="323">
        <f>G28/G30</f>
        <v>0.07661673253071102</v>
      </c>
    </row>
    <row r="29" spans="1:8" ht="15" customHeight="1" thickBot="1">
      <c r="A29" s="409">
        <v>23</v>
      </c>
      <c r="B29" s="445" t="s">
        <v>96</v>
      </c>
      <c r="C29" s="443">
        <v>0</v>
      </c>
      <c r="D29" s="271">
        <v>0</v>
      </c>
      <c r="E29" s="308">
        <v>0</v>
      </c>
      <c r="F29" s="308">
        <v>17</v>
      </c>
      <c r="G29" s="320">
        <f t="shared" si="0"/>
        <v>17</v>
      </c>
      <c r="H29" s="324">
        <f>G29/G30</f>
        <v>0.0005207854670220261</v>
      </c>
    </row>
    <row r="30" spans="1:8" ht="24" customHeight="1" thickBot="1">
      <c r="A30" s="448"/>
      <c r="B30" s="449" t="s">
        <v>6</v>
      </c>
      <c r="C30" s="444">
        <f aca="true" t="shared" si="1" ref="C30:H30">SUM(C7:C29)</f>
        <v>33</v>
      </c>
      <c r="D30" s="306">
        <f t="shared" si="1"/>
        <v>2531</v>
      </c>
      <c r="E30" s="306">
        <f t="shared" si="1"/>
        <v>3479</v>
      </c>
      <c r="F30" s="306">
        <f t="shared" si="1"/>
        <v>26600</v>
      </c>
      <c r="G30" s="321">
        <f t="shared" si="1"/>
        <v>32643</v>
      </c>
      <c r="H30" s="325">
        <f t="shared" si="1"/>
        <v>1</v>
      </c>
    </row>
    <row r="31" spans="1:7" ht="12.75">
      <c r="A31" s="207"/>
      <c r="B31" s="208"/>
      <c r="C31" s="209"/>
      <c r="D31" s="209"/>
      <c r="E31" s="209"/>
      <c r="F31" s="209"/>
      <c r="G31" s="209"/>
    </row>
    <row r="32" spans="1:6" ht="12.75">
      <c r="A32" s="102"/>
      <c r="B32" s="102"/>
      <c r="F32" s="253" t="s">
        <v>15</v>
      </c>
    </row>
    <row r="33" spans="1:6" ht="12.75">
      <c r="A33" s="606">
        <v>41661</v>
      </c>
      <c r="B33" s="606"/>
      <c r="F33" s="253" t="s">
        <v>97</v>
      </c>
    </row>
    <row r="34" ht="12.75">
      <c r="B34" s="309"/>
    </row>
  </sheetData>
  <sheetProtection/>
  <mergeCells count="8">
    <mergeCell ref="H5:H6"/>
    <mergeCell ref="C4:H4"/>
    <mergeCell ref="A33:B33"/>
    <mergeCell ref="A2:G2"/>
    <mergeCell ref="A3:C3"/>
    <mergeCell ref="C5:D5"/>
    <mergeCell ref="E5:F5"/>
    <mergeCell ref="G5:G6"/>
  </mergeCells>
  <printOptions/>
  <pageMargins left="0.31496062992125984" right="0.31496062992125984" top="0.35433070866141736" bottom="0.15748031496062992" header="0.31496062992125984" footer="0.3149606299212598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H34"/>
  <sheetViews>
    <sheetView zoomScalePageLayoutView="0" workbookViewId="0" topLeftCell="A16">
      <selection activeCell="A2" sqref="A2:G2"/>
    </sheetView>
  </sheetViews>
  <sheetFormatPr defaultColWidth="9.140625" defaultRowHeight="12.75"/>
  <cols>
    <col min="1" max="1" width="5.421875" style="0" customWidth="1"/>
    <col min="2" max="2" width="52.7109375" style="0" customWidth="1"/>
    <col min="3" max="7" width="12.7109375" style="0" customWidth="1"/>
    <col min="8" max="8" width="12.57421875" style="0" customWidth="1"/>
  </cols>
  <sheetData>
    <row r="1" spans="1:2" ht="12.75">
      <c r="A1" s="287" t="s">
        <v>147</v>
      </c>
      <c r="B1" s="43"/>
    </row>
    <row r="2" spans="1:7" ht="30.75" customHeight="1">
      <c r="A2" s="605" t="s">
        <v>145</v>
      </c>
      <c r="B2" s="605"/>
      <c r="C2" s="605"/>
      <c r="D2" s="605"/>
      <c r="E2" s="605"/>
      <c r="F2" s="605"/>
      <c r="G2" s="605"/>
    </row>
    <row r="3" spans="1:3" ht="11.25" customHeight="1" thickBot="1">
      <c r="A3" s="586"/>
      <c r="B3" s="586"/>
      <c r="C3" s="586"/>
    </row>
    <row r="4" spans="1:8" ht="14.25" customHeight="1" thickBot="1">
      <c r="A4" s="398"/>
      <c r="B4" s="399"/>
      <c r="C4" s="576" t="s">
        <v>66</v>
      </c>
      <c r="D4" s="576"/>
      <c r="E4" s="576"/>
      <c r="F4" s="576"/>
      <c r="G4" s="576"/>
      <c r="H4" s="610"/>
    </row>
    <row r="5" spans="1:8" ht="13.5" customHeight="1">
      <c r="A5" s="400" t="s">
        <v>67</v>
      </c>
      <c r="B5" s="401" t="s">
        <v>68</v>
      </c>
      <c r="C5" s="608" t="s">
        <v>69</v>
      </c>
      <c r="D5" s="581"/>
      <c r="E5" s="582" t="s">
        <v>70</v>
      </c>
      <c r="F5" s="583"/>
      <c r="G5" s="584" t="s">
        <v>6</v>
      </c>
      <c r="H5" s="607" t="s">
        <v>144</v>
      </c>
    </row>
    <row r="6" spans="1:8" ht="24" customHeight="1" thickBot="1">
      <c r="A6" s="431"/>
      <c r="B6" s="431"/>
      <c r="C6" s="190" t="s">
        <v>71</v>
      </c>
      <c r="D6" s="191" t="s">
        <v>72</v>
      </c>
      <c r="E6" s="191" t="s">
        <v>72</v>
      </c>
      <c r="F6" s="305" t="s">
        <v>73</v>
      </c>
      <c r="G6" s="609"/>
      <c r="H6" s="603"/>
    </row>
    <row r="7" spans="1:8" ht="14.25" customHeight="1">
      <c r="A7" s="433">
        <v>1</v>
      </c>
      <c r="B7" s="434" t="s">
        <v>74</v>
      </c>
      <c r="C7" s="493">
        <v>0</v>
      </c>
      <c r="D7" s="301">
        <v>0</v>
      </c>
      <c r="E7" s="261">
        <v>0</v>
      </c>
      <c r="F7" s="261">
        <v>133</v>
      </c>
      <c r="G7" s="447">
        <f>SUM(C7+D7+E7+F7)</f>
        <v>133</v>
      </c>
      <c r="H7" s="323">
        <f>G7/G30</f>
        <v>0.0036223989541344375</v>
      </c>
    </row>
    <row r="8" spans="1:8" ht="14.25" customHeight="1">
      <c r="A8" s="403">
        <v>2</v>
      </c>
      <c r="B8" s="404" t="s">
        <v>75</v>
      </c>
      <c r="C8" s="394">
        <v>0</v>
      </c>
      <c r="D8" s="192">
        <v>0</v>
      </c>
      <c r="E8" s="193">
        <v>0</v>
      </c>
      <c r="F8" s="193">
        <v>62</v>
      </c>
      <c r="G8" s="316">
        <f>SUM(C8+D8+E8+F8)</f>
        <v>62</v>
      </c>
      <c r="H8" s="323">
        <f>G8/G30</f>
        <v>0.0016886371064386099</v>
      </c>
    </row>
    <row r="9" spans="1:8" ht="12.75" customHeight="1">
      <c r="A9" s="403">
        <v>3</v>
      </c>
      <c r="B9" s="404" t="s">
        <v>76</v>
      </c>
      <c r="C9" s="394">
        <v>38</v>
      </c>
      <c r="D9" s="192">
        <v>0</v>
      </c>
      <c r="E9" s="193">
        <v>0</v>
      </c>
      <c r="F9" s="193">
        <f>2823+2</f>
        <v>2825</v>
      </c>
      <c r="G9" s="316">
        <f aca="true" t="shared" si="0" ref="G9:G29">SUM(C9+D9+E9+F9)</f>
        <v>2863</v>
      </c>
      <c r="H9" s="323">
        <f>G9/G30</f>
        <v>0.07797690380215709</v>
      </c>
    </row>
    <row r="10" spans="1:8" ht="15" customHeight="1">
      <c r="A10" s="403">
        <v>4</v>
      </c>
      <c r="B10" s="404" t="s">
        <v>77</v>
      </c>
      <c r="C10" s="395">
        <v>0</v>
      </c>
      <c r="D10" s="194">
        <v>0</v>
      </c>
      <c r="E10" s="195">
        <v>0</v>
      </c>
      <c r="F10" s="179">
        <v>44</v>
      </c>
      <c r="G10" s="317">
        <f t="shared" si="0"/>
        <v>44</v>
      </c>
      <c r="H10" s="323">
        <f>G10/G30</f>
        <v>0.0011983876239241747</v>
      </c>
    </row>
    <row r="11" spans="1:8" ht="24" customHeight="1">
      <c r="A11" s="403">
        <v>5</v>
      </c>
      <c r="B11" s="404" t="s">
        <v>78</v>
      </c>
      <c r="C11" s="394">
        <v>0</v>
      </c>
      <c r="D11" s="192">
        <v>0</v>
      </c>
      <c r="E11" s="193">
        <v>0</v>
      </c>
      <c r="F11" s="193">
        <v>12</v>
      </c>
      <c r="G11" s="317">
        <f t="shared" si="0"/>
        <v>12</v>
      </c>
      <c r="H11" s="323">
        <f>G11/G30</f>
        <v>0.00032683298834295673</v>
      </c>
    </row>
    <row r="12" spans="1:8" ht="12.75" customHeight="1">
      <c r="A12" s="403">
        <v>6</v>
      </c>
      <c r="B12" s="404" t="s">
        <v>79</v>
      </c>
      <c r="C12" s="395">
        <v>0</v>
      </c>
      <c r="D12" s="175">
        <v>3</v>
      </c>
      <c r="E12" s="179">
        <v>17</v>
      </c>
      <c r="F12" s="179">
        <f>4120+3</f>
        <v>4123</v>
      </c>
      <c r="G12" s="317">
        <f t="shared" si="0"/>
        <v>4143</v>
      </c>
      <c r="H12" s="323">
        <f>G12/G30</f>
        <v>0.11283908922540582</v>
      </c>
    </row>
    <row r="13" spans="1:8" ht="24" customHeight="1">
      <c r="A13" s="403">
        <v>7</v>
      </c>
      <c r="B13" s="404" t="s">
        <v>80</v>
      </c>
      <c r="C13" s="395">
        <v>0</v>
      </c>
      <c r="D13" s="175">
        <v>230</v>
      </c>
      <c r="E13" s="179">
        <v>31</v>
      </c>
      <c r="F13" s="179">
        <f>5294+1</f>
        <v>5295</v>
      </c>
      <c r="G13" s="317">
        <f t="shared" si="0"/>
        <v>5556</v>
      </c>
      <c r="H13" s="323">
        <f>G13/G30</f>
        <v>0.15132367360278898</v>
      </c>
    </row>
    <row r="14" spans="1:8" ht="14.25" customHeight="1">
      <c r="A14" s="403">
        <v>8</v>
      </c>
      <c r="B14" s="404" t="s">
        <v>81</v>
      </c>
      <c r="C14" s="395">
        <v>0</v>
      </c>
      <c r="D14" s="175">
        <v>49</v>
      </c>
      <c r="E14" s="175">
        <v>3</v>
      </c>
      <c r="F14" s="179">
        <v>1317</v>
      </c>
      <c r="G14" s="317">
        <f t="shared" si="0"/>
        <v>1369</v>
      </c>
      <c r="H14" s="323">
        <f>G14/G30</f>
        <v>0.03728619675345898</v>
      </c>
    </row>
    <row r="15" spans="1:8" ht="24" customHeight="1">
      <c r="A15" s="403">
        <v>9</v>
      </c>
      <c r="B15" s="404" t="s">
        <v>82</v>
      </c>
      <c r="C15" s="394">
        <v>0</v>
      </c>
      <c r="D15" s="192">
        <v>4037</v>
      </c>
      <c r="E15" s="175">
        <v>4300</v>
      </c>
      <c r="F15" s="193">
        <f>2829+6</f>
        <v>2835</v>
      </c>
      <c r="G15" s="317">
        <f t="shared" si="0"/>
        <v>11172</v>
      </c>
      <c r="H15" s="323">
        <f>G15/G30</f>
        <v>0.3042815121472927</v>
      </c>
    </row>
    <row r="16" spans="1:8" ht="15" customHeight="1">
      <c r="A16" s="403">
        <v>10</v>
      </c>
      <c r="B16" s="404" t="s">
        <v>83</v>
      </c>
      <c r="C16" s="394">
        <v>0</v>
      </c>
      <c r="D16" s="192">
        <v>1</v>
      </c>
      <c r="E16" s="193">
        <v>1</v>
      </c>
      <c r="F16" s="193">
        <v>431</v>
      </c>
      <c r="G16" s="316">
        <f t="shared" si="0"/>
        <v>433</v>
      </c>
      <c r="H16" s="323">
        <f>G16/G30</f>
        <v>0.011793223662708355</v>
      </c>
    </row>
    <row r="17" spans="1:8" ht="15" customHeight="1">
      <c r="A17" s="403">
        <v>11</v>
      </c>
      <c r="B17" s="404" t="s">
        <v>84</v>
      </c>
      <c r="C17" s="394">
        <v>0</v>
      </c>
      <c r="D17" s="192">
        <v>1</v>
      </c>
      <c r="E17" s="193">
        <v>0</v>
      </c>
      <c r="F17" s="179">
        <v>2017</v>
      </c>
      <c r="G17" s="317">
        <f t="shared" si="0"/>
        <v>2018</v>
      </c>
      <c r="H17" s="323">
        <f>G17/G30</f>
        <v>0.05496241420634056</v>
      </c>
    </row>
    <row r="18" spans="1:8" ht="15" customHeight="1">
      <c r="A18" s="403">
        <v>12</v>
      </c>
      <c r="B18" s="404" t="s">
        <v>85</v>
      </c>
      <c r="C18" s="394">
        <v>0</v>
      </c>
      <c r="D18" s="192">
        <v>15</v>
      </c>
      <c r="E18" s="193">
        <v>8</v>
      </c>
      <c r="F18" s="193">
        <v>174</v>
      </c>
      <c r="G18" s="316">
        <f t="shared" si="0"/>
        <v>197</v>
      </c>
      <c r="H18" s="323">
        <f>G18/G30</f>
        <v>0.005365508225296873</v>
      </c>
    </row>
    <row r="19" spans="1:8" ht="15" customHeight="1">
      <c r="A19" s="403">
        <v>13</v>
      </c>
      <c r="B19" s="404" t="s">
        <v>86</v>
      </c>
      <c r="C19" s="394">
        <v>0</v>
      </c>
      <c r="D19" s="192">
        <v>3</v>
      </c>
      <c r="E19" s="193">
        <v>0</v>
      </c>
      <c r="F19" s="193">
        <f>1167+3</f>
        <v>1170</v>
      </c>
      <c r="G19" s="316">
        <f t="shared" si="0"/>
        <v>1173</v>
      </c>
      <c r="H19" s="323">
        <f>G19/G30</f>
        <v>0.03194792461052402</v>
      </c>
    </row>
    <row r="20" spans="1:8" ht="14.25" customHeight="1">
      <c r="A20" s="403">
        <v>14</v>
      </c>
      <c r="B20" s="404" t="s">
        <v>87</v>
      </c>
      <c r="C20" s="394">
        <v>0</v>
      </c>
      <c r="D20" s="192">
        <v>68</v>
      </c>
      <c r="E20" s="193">
        <v>11</v>
      </c>
      <c r="F20" s="193">
        <v>706</v>
      </c>
      <c r="G20" s="316">
        <f t="shared" si="0"/>
        <v>785</v>
      </c>
      <c r="H20" s="323">
        <f>G20/G30</f>
        <v>0.021380324654101755</v>
      </c>
    </row>
    <row r="21" spans="1:8" ht="13.5" customHeight="1">
      <c r="A21" s="405">
        <v>15</v>
      </c>
      <c r="B21" s="404" t="s">
        <v>88</v>
      </c>
      <c r="C21" s="394">
        <v>0</v>
      </c>
      <c r="D21" s="192">
        <v>14</v>
      </c>
      <c r="E21" s="193">
        <v>0</v>
      </c>
      <c r="F21" s="193">
        <f>2279+1</f>
        <v>2280</v>
      </c>
      <c r="G21" s="316">
        <f t="shared" si="0"/>
        <v>2294</v>
      </c>
      <c r="H21" s="323">
        <f>G21/G30</f>
        <v>0.06247957293822857</v>
      </c>
    </row>
    <row r="22" spans="1:8" ht="15" customHeight="1">
      <c r="A22" s="403">
        <v>16</v>
      </c>
      <c r="B22" s="404" t="s">
        <v>89</v>
      </c>
      <c r="C22" s="394">
        <v>0</v>
      </c>
      <c r="D22" s="192">
        <v>11</v>
      </c>
      <c r="E22" s="193">
        <v>1</v>
      </c>
      <c r="F22" s="193">
        <f>534+1</f>
        <v>535</v>
      </c>
      <c r="G22" s="317">
        <f t="shared" si="0"/>
        <v>547</v>
      </c>
      <c r="H22" s="323">
        <f>G22/G30</f>
        <v>0.014898137051966446</v>
      </c>
    </row>
    <row r="23" spans="1:8" ht="24" customHeight="1">
      <c r="A23" s="405">
        <v>17</v>
      </c>
      <c r="B23" s="404" t="s">
        <v>90</v>
      </c>
      <c r="C23" s="394">
        <v>0</v>
      </c>
      <c r="D23" s="192">
        <v>0</v>
      </c>
      <c r="E23" s="193">
        <v>1</v>
      </c>
      <c r="F23" s="193">
        <f>388+1</f>
        <v>389</v>
      </c>
      <c r="G23" s="316">
        <f t="shared" si="0"/>
        <v>390</v>
      </c>
      <c r="H23" s="323">
        <f>G23/G30</f>
        <v>0.010622072121146095</v>
      </c>
    </row>
    <row r="24" spans="1:8" ht="17.25" customHeight="1">
      <c r="A24" s="403">
        <v>18</v>
      </c>
      <c r="B24" s="406" t="s">
        <v>91</v>
      </c>
      <c r="C24" s="394">
        <v>0</v>
      </c>
      <c r="D24" s="192">
        <v>59</v>
      </c>
      <c r="E24" s="193">
        <v>8</v>
      </c>
      <c r="F24" s="193">
        <v>348</v>
      </c>
      <c r="G24" s="316">
        <f t="shared" si="0"/>
        <v>415</v>
      </c>
      <c r="H24" s="323">
        <f>G24/G30</f>
        <v>0.011302974180193921</v>
      </c>
    </row>
    <row r="25" spans="1:8" ht="15.75" customHeight="1">
      <c r="A25" s="403">
        <v>19</v>
      </c>
      <c r="B25" s="406" t="s">
        <v>92</v>
      </c>
      <c r="C25" s="394">
        <v>0</v>
      </c>
      <c r="D25" s="192">
        <v>15</v>
      </c>
      <c r="E25" s="193">
        <v>12</v>
      </c>
      <c r="F25" s="193">
        <v>514</v>
      </c>
      <c r="G25" s="316">
        <f t="shared" si="0"/>
        <v>541</v>
      </c>
      <c r="H25" s="323">
        <f>G25/G30</f>
        <v>0.014734720557794966</v>
      </c>
    </row>
    <row r="26" spans="1:8" ht="24" customHeight="1">
      <c r="A26" s="405">
        <v>20</v>
      </c>
      <c r="B26" s="406" t="s">
        <v>93</v>
      </c>
      <c r="C26" s="394">
        <v>0</v>
      </c>
      <c r="D26" s="192">
        <v>0</v>
      </c>
      <c r="E26" s="193">
        <v>0</v>
      </c>
      <c r="F26" s="193">
        <v>38</v>
      </c>
      <c r="G26" s="319">
        <f>SUM(C26+D26+E26+F26)</f>
        <v>38</v>
      </c>
      <c r="H26" s="323">
        <f>G26/G30</f>
        <v>0.0010349711297526964</v>
      </c>
    </row>
    <row r="27" spans="1:8" ht="16.5" customHeight="1">
      <c r="A27" s="403">
        <v>21</v>
      </c>
      <c r="B27" s="406" t="s">
        <v>94</v>
      </c>
      <c r="C27" s="394">
        <v>0</v>
      </c>
      <c r="D27" s="192">
        <v>0</v>
      </c>
      <c r="E27" s="193">
        <v>0</v>
      </c>
      <c r="F27" s="193">
        <v>16</v>
      </c>
      <c r="G27" s="316">
        <f t="shared" si="0"/>
        <v>16</v>
      </c>
      <c r="H27" s="323">
        <f>G27/G30</f>
        <v>0.000435777317790609</v>
      </c>
    </row>
    <row r="28" spans="1:8" ht="14.25" customHeight="1">
      <c r="A28" s="403">
        <v>22</v>
      </c>
      <c r="B28" s="407" t="s">
        <v>95</v>
      </c>
      <c r="C28" s="394">
        <v>0</v>
      </c>
      <c r="D28" s="192">
        <v>1</v>
      </c>
      <c r="E28" s="193">
        <v>16</v>
      </c>
      <c r="F28" s="193">
        <f>2472+8</f>
        <v>2480</v>
      </c>
      <c r="G28" s="316">
        <f t="shared" si="0"/>
        <v>2497</v>
      </c>
      <c r="H28" s="323">
        <f>G28/G30</f>
        <v>0.06800849765769691</v>
      </c>
    </row>
    <row r="29" spans="1:8" ht="15" customHeight="1" thickBot="1">
      <c r="A29" s="409">
        <v>23</v>
      </c>
      <c r="B29" s="445" t="s">
        <v>96</v>
      </c>
      <c r="C29" s="443">
        <v>0</v>
      </c>
      <c r="D29" s="271">
        <v>0</v>
      </c>
      <c r="E29" s="308">
        <v>0</v>
      </c>
      <c r="F29" s="308">
        <v>18</v>
      </c>
      <c r="G29" s="320">
        <f t="shared" si="0"/>
        <v>18</v>
      </c>
      <c r="H29" s="435">
        <f>G29/G30</f>
        <v>0.0004902494825144351</v>
      </c>
    </row>
    <row r="30" spans="1:8" ht="24" customHeight="1" thickBot="1">
      <c r="A30" s="448"/>
      <c r="B30" s="449" t="s">
        <v>6</v>
      </c>
      <c r="C30" s="444">
        <f aca="true" t="shared" si="1" ref="C30:H30">SUM(C7:C29)</f>
        <v>38</v>
      </c>
      <c r="D30" s="306">
        <f t="shared" si="1"/>
        <v>4507</v>
      </c>
      <c r="E30" s="306">
        <f t="shared" si="1"/>
        <v>4409</v>
      </c>
      <c r="F30" s="306">
        <f t="shared" si="1"/>
        <v>27762</v>
      </c>
      <c r="G30" s="321">
        <f t="shared" si="1"/>
        <v>36716</v>
      </c>
      <c r="H30" s="325">
        <f t="shared" si="1"/>
        <v>1</v>
      </c>
    </row>
    <row r="31" spans="1:7" ht="12.75">
      <c r="A31" s="207"/>
      <c r="B31" s="208"/>
      <c r="C31" s="209"/>
      <c r="D31" s="209"/>
      <c r="E31" s="209"/>
      <c r="F31" s="209"/>
      <c r="G31" s="209"/>
    </row>
    <row r="32" spans="1:6" ht="12.75">
      <c r="A32" s="102"/>
      <c r="B32" s="102"/>
      <c r="F32" s="253" t="s">
        <v>15</v>
      </c>
    </row>
    <row r="33" spans="1:6" ht="12.75">
      <c r="A33" s="606">
        <v>41687</v>
      </c>
      <c r="B33" s="606"/>
      <c r="F33" s="253" t="s">
        <v>97</v>
      </c>
    </row>
    <row r="34" ht="12.75">
      <c r="B34" s="309"/>
    </row>
  </sheetData>
  <sheetProtection/>
  <mergeCells count="8">
    <mergeCell ref="A33:B33"/>
    <mergeCell ref="H5:H6"/>
    <mergeCell ref="A2:G2"/>
    <mergeCell ref="A3:C3"/>
    <mergeCell ref="C5:D5"/>
    <mergeCell ref="E5:F5"/>
    <mergeCell ref="G5:G6"/>
    <mergeCell ref="C4:H4"/>
  </mergeCells>
  <printOptions/>
  <pageMargins left="0.31496062992125984" right="0.31496062992125984" top="0.35433070866141736" bottom="0.15748031496062992"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S33"/>
  <sheetViews>
    <sheetView zoomScalePageLayoutView="0" workbookViewId="0" topLeftCell="A1">
      <selection activeCell="J16" sqref="J16"/>
    </sheetView>
  </sheetViews>
  <sheetFormatPr defaultColWidth="9.140625" defaultRowHeight="12.75"/>
  <cols>
    <col min="1" max="1" width="14.8515625" style="0" customWidth="1"/>
    <col min="4" max="4" width="9.7109375" style="0" customWidth="1"/>
    <col min="9" max="9" width="8.8515625" style="0" customWidth="1"/>
    <col min="10" max="10" width="9.57421875" style="0" customWidth="1"/>
    <col min="13" max="13" width="8.57421875" style="0" customWidth="1"/>
    <col min="14" max="14" width="15.57421875" style="0" customWidth="1"/>
  </cols>
  <sheetData>
    <row r="1" spans="1:14" ht="12.75">
      <c r="A1" s="288" t="s">
        <v>114</v>
      </c>
      <c r="L1" s="512"/>
      <c r="M1" s="512"/>
      <c r="N1" s="512"/>
    </row>
    <row r="2" spans="1:15" ht="12.75">
      <c r="A2" s="523" t="s">
        <v>54</v>
      </c>
      <c r="B2" s="523"/>
      <c r="C2" s="523"/>
      <c r="D2" s="523"/>
      <c r="E2" s="523"/>
      <c r="F2" s="523"/>
      <c r="G2" s="523"/>
      <c r="H2" s="523"/>
      <c r="I2" s="523"/>
      <c r="J2" s="523"/>
      <c r="K2" s="523"/>
      <c r="L2" s="523"/>
      <c r="M2" s="523"/>
      <c r="N2" s="523"/>
      <c r="O2" s="92"/>
    </row>
    <row r="3" spans="1:14" ht="12.75">
      <c r="A3" s="523" t="s">
        <v>102</v>
      </c>
      <c r="B3" s="523"/>
      <c r="C3" s="523"/>
      <c r="D3" s="523"/>
      <c r="E3" s="523"/>
      <c r="F3" s="523"/>
      <c r="G3" s="523"/>
      <c r="H3" s="523"/>
      <c r="I3" s="523"/>
      <c r="J3" s="523"/>
      <c r="K3" s="523"/>
      <c r="L3" s="523"/>
      <c r="M3" s="523"/>
      <c r="N3" s="523"/>
    </row>
    <row r="4" spans="1:14" ht="13.5" thickBot="1">
      <c r="A4" s="1"/>
      <c r="B4" s="1"/>
      <c r="C4" s="2"/>
      <c r="D4" s="1"/>
      <c r="E4" s="1"/>
      <c r="F4" s="1"/>
      <c r="G4" s="1"/>
      <c r="H4" s="1"/>
      <c r="I4" s="1"/>
      <c r="J4" s="1"/>
      <c r="K4" s="1"/>
      <c r="L4" s="1"/>
      <c r="M4" s="1"/>
      <c r="N4" s="1"/>
    </row>
    <row r="5" spans="1:14" ht="15.75" customHeight="1">
      <c r="A5" s="364"/>
      <c r="B5" s="524">
        <v>2012</v>
      </c>
      <c r="C5" s="524"/>
      <c r="D5" s="524"/>
      <c r="E5" s="524"/>
      <c r="F5" s="524"/>
      <c r="G5" s="525"/>
      <c r="H5" s="526">
        <v>2013</v>
      </c>
      <c r="I5" s="524"/>
      <c r="J5" s="524"/>
      <c r="K5" s="524"/>
      <c r="L5" s="524"/>
      <c r="M5" s="524"/>
      <c r="N5" s="367" t="s">
        <v>8</v>
      </c>
    </row>
    <row r="6" spans="1:14" ht="15.75" customHeight="1">
      <c r="A6" s="344" t="s">
        <v>0</v>
      </c>
      <c r="B6" s="230" t="s">
        <v>1</v>
      </c>
      <c r="C6" s="86" t="s">
        <v>2</v>
      </c>
      <c r="D6" s="87" t="s">
        <v>3</v>
      </c>
      <c r="E6" s="86" t="s">
        <v>4</v>
      </c>
      <c r="F6" s="86" t="s">
        <v>5</v>
      </c>
      <c r="G6" s="204" t="s">
        <v>6</v>
      </c>
      <c r="H6" s="85" t="s">
        <v>1</v>
      </c>
      <c r="I6" s="86" t="s">
        <v>2</v>
      </c>
      <c r="J6" s="87" t="s">
        <v>3</v>
      </c>
      <c r="K6" s="86" t="s">
        <v>4</v>
      </c>
      <c r="L6" s="86" t="s">
        <v>5</v>
      </c>
      <c r="M6" s="365" t="s">
        <v>6</v>
      </c>
      <c r="N6" s="368" t="s">
        <v>9</v>
      </c>
    </row>
    <row r="7" spans="1:14" ht="15.75" customHeight="1" thickBot="1">
      <c r="A7" s="345"/>
      <c r="B7" s="231"/>
      <c r="C7" s="22"/>
      <c r="D7" s="17"/>
      <c r="E7" s="22"/>
      <c r="F7" s="22"/>
      <c r="G7" s="205"/>
      <c r="H7" s="21"/>
      <c r="I7" s="22"/>
      <c r="J7" s="17"/>
      <c r="K7" s="22"/>
      <c r="L7" s="22"/>
      <c r="M7" s="366"/>
      <c r="N7" s="369"/>
    </row>
    <row r="8" spans="1:14" ht="15.75" customHeight="1">
      <c r="A8" s="346" t="s">
        <v>23</v>
      </c>
      <c r="B8" s="362">
        <v>8236</v>
      </c>
      <c r="C8" s="363">
        <v>5015</v>
      </c>
      <c r="D8" s="363">
        <v>6751</v>
      </c>
      <c r="E8" s="363">
        <v>7078</v>
      </c>
      <c r="F8" s="362">
        <v>5201</v>
      </c>
      <c r="G8" s="26">
        <f aca="true" t="shared" si="0" ref="G8:G13">SUM(B8:F8)</f>
        <v>32281</v>
      </c>
      <c r="H8" s="41">
        <f>'κατά επαρχία και φύλο το 2013'!B8+'κατά επαρχία και φύλο το 2013'!I8</f>
        <v>9682</v>
      </c>
      <c r="I8" s="25">
        <f>'κατά επαρχία και φύλο το 2013'!C8+'κατά επαρχία και φύλο το 2013'!J8</f>
        <v>5287</v>
      </c>
      <c r="J8" s="25">
        <f>'κατά επαρχία και φύλο το 2013'!D8+'κατά επαρχία και φύλο το 2013'!K8</f>
        <v>7593</v>
      </c>
      <c r="K8" s="25">
        <f>'κατά επαρχία και φύλο το 2013'!E8+'κατά επαρχία και φύλο το 2013'!L8</f>
        <v>7977</v>
      </c>
      <c r="L8" s="25">
        <f>'κατά επαρχία και φύλο το 2013'!F8+'κατά επαρχία και φύλο το 2013'!M8</f>
        <v>5927</v>
      </c>
      <c r="M8" s="456">
        <f aca="true" t="shared" si="1" ref="M8:M13">SUM(H8:L8)</f>
        <v>36466</v>
      </c>
      <c r="N8" s="460">
        <f aca="true" t="shared" si="2" ref="N8:N13">+(M8/G8)-1</f>
        <v>0.12964282395217008</v>
      </c>
    </row>
    <row r="9" spans="1:14" ht="15.75" customHeight="1">
      <c r="A9" s="347" t="s">
        <v>24</v>
      </c>
      <c r="B9" s="66">
        <v>8037</v>
      </c>
      <c r="C9" s="29">
        <v>4934</v>
      </c>
      <c r="D9" s="29">
        <v>6807</v>
      </c>
      <c r="E9" s="29">
        <v>7224</v>
      </c>
      <c r="F9" s="66">
        <v>5289</v>
      </c>
      <c r="G9" s="206">
        <f t="shared" si="0"/>
        <v>32291</v>
      </c>
      <c r="H9" s="66">
        <f>'κατά επαρχία και φύλο το 2013'!B9+'κατά επαρχία και φύλο το 2013'!I9</f>
        <v>9471</v>
      </c>
      <c r="I9" s="66">
        <f>'κατά επαρχία και φύλο το 2013'!C9+'κατά επαρχία και φύλο το 2013'!J9</f>
        <v>5268</v>
      </c>
      <c r="J9" s="66">
        <f>'κατά επαρχία και φύλο το 2013'!D9+'κατά επαρχία και φύλο το 2013'!K9</f>
        <v>7455</v>
      </c>
      <c r="K9" s="66">
        <f>'κατά επαρχία και φύλο το 2013'!E9+'κατά επαρχία και φύλο το 2013'!L9</f>
        <v>8022</v>
      </c>
      <c r="L9" s="66">
        <f>'κατά επαρχία και φύλο το 2013'!F9+'κατά επαρχία και φύλο το 2013'!M9</f>
        <v>5995</v>
      </c>
      <c r="M9" s="456">
        <f t="shared" si="1"/>
        <v>36211</v>
      </c>
      <c r="N9" s="460">
        <f t="shared" si="2"/>
        <v>0.12139605462822467</v>
      </c>
    </row>
    <row r="10" spans="1:19" ht="15.75" customHeight="1">
      <c r="A10" s="347" t="s">
        <v>25</v>
      </c>
      <c r="B10" s="66">
        <v>8321</v>
      </c>
      <c r="C10" s="29">
        <v>4792</v>
      </c>
      <c r="D10" s="29">
        <v>6711</v>
      </c>
      <c r="E10" s="29">
        <v>7227</v>
      </c>
      <c r="F10" s="66">
        <v>4745</v>
      </c>
      <c r="G10" s="206">
        <f t="shared" si="0"/>
        <v>31796</v>
      </c>
      <c r="H10" s="66">
        <f>'κατά επαρχία και φύλο το 2013'!B10+'κατά επαρχία και φύλο το 2013'!I10</f>
        <v>9479</v>
      </c>
      <c r="I10" s="66">
        <f>'κατά επαρχία και φύλο το 2013'!C10+'κατά επαρχία και φύλο το 2013'!J10</f>
        <v>5235</v>
      </c>
      <c r="J10" s="66">
        <f>'κατά επαρχία και φύλο το 2013'!D10+'κατά επαρχία και φύλο το 2013'!K10</f>
        <v>7345</v>
      </c>
      <c r="K10" s="66">
        <f>'κατά επαρχία και φύλο το 2013'!E10+'κατά επαρχία και φύλο το 2013'!L10</f>
        <v>7806</v>
      </c>
      <c r="L10" s="66">
        <f>'κατά επαρχία και φύλο το 2013'!F10+'κατά επαρχία και φύλο το 2013'!M10</f>
        <v>5369</v>
      </c>
      <c r="M10" s="456">
        <f t="shared" si="1"/>
        <v>35234</v>
      </c>
      <c r="N10" s="460">
        <f t="shared" si="2"/>
        <v>0.1081268084035727</v>
      </c>
      <c r="S10" s="100"/>
    </row>
    <row r="11" spans="1:19" ht="15.75" customHeight="1">
      <c r="A11" s="347" t="s">
        <v>26</v>
      </c>
      <c r="B11" s="66">
        <v>8618</v>
      </c>
      <c r="C11" s="29">
        <v>4596</v>
      </c>
      <c r="D11" s="29">
        <v>4207</v>
      </c>
      <c r="E11" s="29">
        <v>6924</v>
      </c>
      <c r="F11" s="66">
        <v>3556</v>
      </c>
      <c r="G11" s="206">
        <f t="shared" si="0"/>
        <v>27901</v>
      </c>
      <c r="H11" s="66">
        <f>'κατά επαρχία και φύλο το 2013'!B11+'κατά επαρχία και φύλο το 2013'!I11</f>
        <v>9964</v>
      </c>
      <c r="I11" s="66">
        <f>'κατά επαρχία και φύλο το 2013'!C11+'κατά επαρχία και φύλο το 2013'!J11</f>
        <v>5158</v>
      </c>
      <c r="J11" s="66">
        <f>'κατά επαρχία και φύλο το 2013'!D11+'κατά επαρχία και φύλο το 2013'!K11</f>
        <v>4840</v>
      </c>
      <c r="K11" s="66">
        <f>'κατά επαρχία και φύλο το 2013'!E11+'κατά επαρχία και φύλο το 2013'!L11</f>
        <v>8075</v>
      </c>
      <c r="L11" s="66">
        <f>'κατά επαρχία και φύλο το 2013'!F11+'κατά επαρχία και φύλο το 2013'!M11</f>
        <v>3850</v>
      </c>
      <c r="M11" s="456">
        <f t="shared" si="1"/>
        <v>31887</v>
      </c>
      <c r="N11" s="460">
        <f t="shared" si="2"/>
        <v>0.1428622630013261</v>
      </c>
      <c r="S11" s="100"/>
    </row>
    <row r="12" spans="1:19" ht="15.75" customHeight="1">
      <c r="A12" s="347" t="s">
        <v>27</v>
      </c>
      <c r="B12" s="66">
        <v>8371</v>
      </c>
      <c r="C12" s="29">
        <v>4088</v>
      </c>
      <c r="D12" s="29">
        <v>2301</v>
      </c>
      <c r="E12" s="29">
        <v>6837</v>
      </c>
      <c r="F12" s="29">
        <v>2915</v>
      </c>
      <c r="G12" s="206">
        <f t="shared" si="0"/>
        <v>24512</v>
      </c>
      <c r="H12" s="66">
        <f>'κατά επαρχία και φύλο το 2013'!B12+'κατά επαρχία και φύλο το 2013'!I12</f>
        <v>9876</v>
      </c>
      <c r="I12" s="66">
        <f>'κατά επαρχία και φύλο το 2013'!C12+'κατά επαρχία και φύλο το 2013'!J12</f>
        <v>4760</v>
      </c>
      <c r="J12" s="66">
        <f>'κατά επαρχία και φύλο το 2013'!D12+'κατά επαρχία και φύλο το 2013'!K12</f>
        <v>2442</v>
      </c>
      <c r="K12" s="66">
        <f>'κατά επαρχία και φύλο το 2013'!E12+'κατά επαρχία και φύλο το 2013'!L12</f>
        <v>7873</v>
      </c>
      <c r="L12" s="66">
        <f>'κατά επαρχία και φύλο το 2013'!F12+'κατά επαρχία και φύλο το 2013'!M12</f>
        <v>3030</v>
      </c>
      <c r="M12" s="456">
        <f t="shared" si="1"/>
        <v>27981</v>
      </c>
      <c r="N12" s="460">
        <f t="shared" si="2"/>
        <v>0.14152251958224538</v>
      </c>
      <c r="S12" s="100"/>
    </row>
    <row r="13" spans="1:19" ht="15.75" customHeight="1" thickBot="1">
      <c r="A13" s="370" t="s">
        <v>28</v>
      </c>
      <c r="B13" s="234">
        <v>8877</v>
      </c>
      <c r="C13" s="235">
        <v>4097</v>
      </c>
      <c r="D13" s="235">
        <v>1535</v>
      </c>
      <c r="E13" s="235">
        <v>6979</v>
      </c>
      <c r="F13" s="235">
        <v>2602</v>
      </c>
      <c r="G13" s="236">
        <f t="shared" si="0"/>
        <v>24090</v>
      </c>
      <c r="H13" s="66">
        <f>'κατά επαρχία και φύλο το 2013'!B13+'κατά επαρχία και φύλο το 2013'!I13</f>
        <v>10678</v>
      </c>
      <c r="I13" s="66">
        <f>'κατά επαρχία και φύλο το 2013'!C13+'κατά επαρχία και φύλο το 2013'!J13</f>
        <v>4931</v>
      </c>
      <c r="J13" s="66">
        <f>'κατά επαρχία και φύλο το 2013'!D13+'κατά επαρχία και φύλο το 2013'!K13</f>
        <v>1682</v>
      </c>
      <c r="K13" s="66">
        <f>'κατά επαρχία και φύλο το 2013'!E13+'κατά επαρχία και φύλο το 2013'!L13</f>
        <v>8189</v>
      </c>
      <c r="L13" s="66">
        <f>'κατά επαρχία και φύλο το 2013'!F13+'κατά επαρχία και φύλο το 2013'!M13</f>
        <v>2810</v>
      </c>
      <c r="M13" s="456">
        <f t="shared" si="1"/>
        <v>28290</v>
      </c>
      <c r="N13" s="460">
        <f t="shared" si="2"/>
        <v>0.17434620174346205</v>
      </c>
      <c r="S13" s="100"/>
    </row>
    <row r="14" spans="1:19" ht="15.75" customHeight="1">
      <c r="A14" s="513" t="s">
        <v>49</v>
      </c>
      <c r="B14" s="232"/>
      <c r="C14" s="20"/>
      <c r="D14" s="20"/>
      <c r="E14" s="20"/>
      <c r="F14" s="20"/>
      <c r="G14" s="13"/>
      <c r="H14" s="30"/>
      <c r="I14" s="20"/>
      <c r="J14" s="20"/>
      <c r="K14" s="20"/>
      <c r="L14" s="20"/>
      <c r="M14" s="457"/>
      <c r="N14" s="461"/>
      <c r="S14" s="100"/>
    </row>
    <row r="15" spans="1:19" ht="20.25" customHeight="1" thickBot="1">
      <c r="A15" s="514"/>
      <c r="B15" s="188">
        <f aca="true" t="shared" si="3" ref="B15:M15">AVERAGE(B8:B13)</f>
        <v>8410</v>
      </c>
      <c r="C15" s="188">
        <f t="shared" si="3"/>
        <v>4587</v>
      </c>
      <c r="D15" s="188">
        <f t="shared" si="3"/>
        <v>4718.666666666667</v>
      </c>
      <c r="E15" s="188">
        <f t="shared" si="3"/>
        <v>7044.833333333333</v>
      </c>
      <c r="F15" s="188">
        <f t="shared" si="3"/>
        <v>4051.3333333333335</v>
      </c>
      <c r="G15" s="112">
        <f t="shared" si="3"/>
        <v>28811.833333333332</v>
      </c>
      <c r="H15" s="223">
        <f t="shared" si="3"/>
        <v>9858.333333333334</v>
      </c>
      <c r="I15" s="188">
        <f t="shared" si="3"/>
        <v>5106.5</v>
      </c>
      <c r="J15" s="188">
        <f>AVERAGE(J8:J13)</f>
        <v>5226.166666666667</v>
      </c>
      <c r="K15" s="188">
        <f t="shared" si="3"/>
        <v>7990.333333333333</v>
      </c>
      <c r="L15" s="188">
        <f t="shared" si="3"/>
        <v>4496.833333333333</v>
      </c>
      <c r="M15" s="458">
        <f t="shared" si="3"/>
        <v>32678.166666666668</v>
      </c>
      <c r="N15" s="462">
        <f aca="true" t="shared" si="4" ref="N15:N21">+(M15/G15)-1</f>
        <v>0.1341925482006816</v>
      </c>
      <c r="S15" s="100"/>
    </row>
    <row r="16" spans="1:14" ht="15.75" customHeight="1">
      <c r="A16" s="349" t="s">
        <v>29</v>
      </c>
      <c r="B16" s="66">
        <v>9544</v>
      </c>
      <c r="C16" s="29">
        <v>4279</v>
      </c>
      <c r="D16" s="29">
        <v>1531</v>
      </c>
      <c r="E16" s="29">
        <v>7421</v>
      </c>
      <c r="F16" s="29">
        <v>2624</v>
      </c>
      <c r="G16" s="310">
        <f aca="true" t="shared" si="5" ref="G16:G21">SUM(B16:F16)</f>
        <v>25399</v>
      </c>
      <c r="H16" s="28">
        <f>'κατά επαρχία και φύλο το 2013'!B16+'κατά επαρχία και φύλο το 2013'!I16</f>
        <v>11246</v>
      </c>
      <c r="I16" s="66">
        <f>'κατά επαρχία και φύλο το 2013'!C16+'κατά επαρχία και φύλο το 2013'!J16</f>
        <v>5045</v>
      </c>
      <c r="J16" s="66">
        <f>'κατά επαρχία και φύλο το 2013'!D16+'κατά επαρχία και φύλο το 2013'!K16</f>
        <v>1649</v>
      </c>
      <c r="K16" s="66">
        <f>'κατά επαρχία και φύλο το 2013'!E16+'κατά επαρχία και φύλο το 2013'!L16</f>
        <v>8810</v>
      </c>
      <c r="L16" s="66">
        <f>'κατά επαρχία και φύλο το 2013'!F16+'κατά επαρχία και φύλο το 2013'!M16</f>
        <v>2778</v>
      </c>
      <c r="M16" s="456">
        <f>SUM(H16:L16)</f>
        <v>29528</v>
      </c>
      <c r="N16" s="460">
        <f t="shared" si="4"/>
        <v>0.16256545533288702</v>
      </c>
    </row>
    <row r="17" spans="1:14" ht="15.75" customHeight="1">
      <c r="A17" s="347" t="s">
        <v>7</v>
      </c>
      <c r="B17" s="66">
        <v>9430</v>
      </c>
      <c r="C17" s="25">
        <v>4144</v>
      </c>
      <c r="D17" s="25">
        <v>1457</v>
      </c>
      <c r="E17" s="29">
        <v>7215</v>
      </c>
      <c r="F17" s="29">
        <v>2620</v>
      </c>
      <c r="G17" s="310">
        <f t="shared" si="5"/>
        <v>24866</v>
      </c>
      <c r="H17" s="28">
        <f>'κατά επαρχία και φύλο το 2013'!B17+'κατά επαρχία και φύλο το 2013'!I17</f>
        <v>12062</v>
      </c>
      <c r="I17" s="66">
        <f>'κατά επαρχία και φύλο το 2013'!C17+'κατά επαρχία και φύλο το 2013'!J17</f>
        <v>4978</v>
      </c>
      <c r="J17" s="66">
        <f>'κατά επαρχία και φύλο το 2013'!D17+'κατά επαρχία και φύλο το 2013'!K17</f>
        <v>1619</v>
      </c>
      <c r="K17" s="66">
        <f>'κατά επαρχία και φύλο το 2013'!E17+'κατά επαρχία και φύλο το 2013'!L17</f>
        <v>9026</v>
      </c>
      <c r="L17" s="66">
        <f>'κατά επαρχία και φύλο το 2013'!F17+'κατά επαρχία και φύλο το 2013'!M17</f>
        <v>2660</v>
      </c>
      <c r="M17" s="456">
        <f>SUM(H17:L17)</f>
        <v>30345</v>
      </c>
      <c r="N17" s="460">
        <f t="shared" si="4"/>
        <v>0.22034102790959542</v>
      </c>
    </row>
    <row r="18" spans="1:14" ht="15.75" customHeight="1">
      <c r="A18" s="347" t="s">
        <v>30</v>
      </c>
      <c r="B18" s="66">
        <v>9269</v>
      </c>
      <c r="C18" s="29">
        <v>4168</v>
      </c>
      <c r="D18" s="29">
        <v>1551</v>
      </c>
      <c r="E18" s="29">
        <v>7319</v>
      </c>
      <c r="F18" s="29">
        <v>2606</v>
      </c>
      <c r="G18" s="310">
        <f t="shared" si="5"/>
        <v>24913</v>
      </c>
      <c r="H18" s="28">
        <f>'κατά επαρχία και φύλο το 2013'!B18+'κατά επαρχία και φύλο το 2013'!I18</f>
        <v>11702</v>
      </c>
      <c r="I18" s="66">
        <f>'κατά επαρχία και φύλο το 2013'!C18+'κατά επαρχία και φύλο το 2013'!J18</f>
        <v>4975</v>
      </c>
      <c r="J18" s="66">
        <f>'κατά επαρχία και φύλο το 2013'!D18+'κατά επαρχία και φύλο το 2013'!K18</f>
        <v>1615</v>
      </c>
      <c r="K18" s="66">
        <f>'κατά επαρχία και φύλο το 2013'!E18+'κατά επαρχία και φύλο το 2013'!L18</f>
        <v>8679</v>
      </c>
      <c r="L18" s="66">
        <f>'κατά επαρχία και φύλο το 2013'!F18+'κατά επαρχία και φύλο το 2013'!M18</f>
        <v>2579</v>
      </c>
      <c r="M18" s="456">
        <f>SUM(H18:L18)</f>
        <v>29550</v>
      </c>
      <c r="N18" s="460">
        <f t="shared" si="4"/>
        <v>0.18612772448119452</v>
      </c>
    </row>
    <row r="19" spans="1:14" ht="15.75" customHeight="1">
      <c r="A19" s="347" t="s">
        <v>31</v>
      </c>
      <c r="B19" s="66">
        <v>8565</v>
      </c>
      <c r="C19" s="29">
        <v>3755</v>
      </c>
      <c r="D19" s="29">
        <v>1685</v>
      </c>
      <c r="E19" s="29">
        <v>6596</v>
      </c>
      <c r="F19" s="29">
        <v>2356</v>
      </c>
      <c r="G19" s="29">
        <f t="shared" si="5"/>
        <v>22957</v>
      </c>
      <c r="H19" s="28">
        <f>'κατά επαρχία και φύλο το 2013'!B19+'κατά επαρχία και φύλο το 2013'!I19</f>
        <v>10643</v>
      </c>
      <c r="I19" s="66">
        <f>'κατά επαρχία και φύλο το 2013'!C19+'κατά επαρχία και φύλο το 2013'!J19</f>
        <v>4408</v>
      </c>
      <c r="J19" s="66">
        <f>'κατά επαρχία και φύλο το 2013'!D19+'κατά επαρχία και φύλο το 2013'!K19</f>
        <v>1690</v>
      </c>
      <c r="K19" s="66">
        <f>'κατά επαρχία και φύλο το 2013'!E19+'κατά επαρχία και φύλο το 2013'!L19</f>
        <v>7902</v>
      </c>
      <c r="L19" s="66">
        <f>'κατά επαρχία και φύλο το 2013'!F19+'κατά επαρχία και φύλο το 2013'!M19</f>
        <v>2450</v>
      </c>
      <c r="M19" s="456">
        <f>SUM(H19:L19)</f>
        <v>27093</v>
      </c>
      <c r="N19" s="460">
        <f t="shared" si="4"/>
        <v>0.1801629132726401</v>
      </c>
    </row>
    <row r="20" spans="1:14" ht="15.75" customHeight="1">
      <c r="A20" s="347" t="s">
        <v>32</v>
      </c>
      <c r="B20" s="66">
        <v>8364</v>
      </c>
      <c r="C20" s="29">
        <v>4455</v>
      </c>
      <c r="D20" s="29">
        <v>5968</v>
      </c>
      <c r="E20" s="29">
        <v>6660</v>
      </c>
      <c r="F20" s="29">
        <v>3946</v>
      </c>
      <c r="G20" s="29">
        <f t="shared" si="5"/>
        <v>29393</v>
      </c>
      <c r="H20" s="28">
        <f>'κατά επαρχία και φύλο το 2013'!B20+'κατά επαρχία και φύλο το 2013'!I20</f>
        <v>9766</v>
      </c>
      <c r="I20" s="66">
        <f>'κατά επαρχία και φύλο το 2013'!C20+'κατά επαρχία και φύλο το 2013'!J20</f>
        <v>4882</v>
      </c>
      <c r="J20" s="66">
        <f>'κατά επαρχία και φύλο το 2013'!D20+'κατά επαρχία και φύλο το 2013'!K20</f>
        <v>6240</v>
      </c>
      <c r="K20" s="66">
        <f>'κατά επαρχία και φύλο το 2013'!E20+'κατά επαρχία και φύλο το 2013'!L20</f>
        <v>7759</v>
      </c>
      <c r="L20" s="66">
        <f>'κατά επαρχία και φύλο το 2013'!F20+'κατά επαρχία και φύλο το 2013'!M20</f>
        <v>3996</v>
      </c>
      <c r="M20" s="456">
        <f>SUM(H20:L20)</f>
        <v>32643</v>
      </c>
      <c r="N20" s="460">
        <f t="shared" si="4"/>
        <v>0.11057054400707655</v>
      </c>
    </row>
    <row r="21" spans="1:14" ht="15.75" customHeight="1" thickBot="1">
      <c r="A21" s="370" t="s">
        <v>33</v>
      </c>
      <c r="B21" s="66">
        <v>8840</v>
      </c>
      <c r="C21" s="29">
        <v>4877</v>
      </c>
      <c r="D21" s="29">
        <v>7121</v>
      </c>
      <c r="E21" s="29">
        <v>7241</v>
      </c>
      <c r="F21" s="29">
        <v>5295</v>
      </c>
      <c r="G21" s="29">
        <f t="shared" si="5"/>
        <v>33374</v>
      </c>
      <c r="H21" s="28">
        <f>'κατά επαρχία και φύλο το 2013'!B21+'κατά επαρχία και φύλο το 2013'!I21</f>
        <v>9839</v>
      </c>
      <c r="I21" s="66">
        <f>'κατά επαρχία και φύλο το 2013'!C21+'κατά επαρχία και φύλο το 2013'!J21</f>
        <v>5291</v>
      </c>
      <c r="J21" s="66">
        <f>'κατά επαρχία και φύλο το 2013'!D21+'κατά επαρχία και φύλο το 2013'!K21</f>
        <v>7676</v>
      </c>
      <c r="K21" s="66">
        <f>'κατά επαρχία και φύλο το 2013'!E21+'κατά επαρχία και φύλο το 2013'!L21</f>
        <v>8216</v>
      </c>
      <c r="L21" s="66">
        <f>'κατά επαρχία και φύλο το 2013'!F21+'κατά επαρχία και φύλο το 2013'!M21</f>
        <v>5694</v>
      </c>
      <c r="M21" s="456">
        <f>H21+I21+J21+K21+L21</f>
        <v>36716</v>
      </c>
      <c r="N21" s="460">
        <f t="shared" si="4"/>
        <v>0.1001378318451489</v>
      </c>
    </row>
    <row r="22" spans="1:14" ht="15.75" customHeight="1">
      <c r="A22" s="513" t="s">
        <v>47</v>
      </c>
      <c r="B22" s="58"/>
      <c r="C22" s="20"/>
      <c r="D22" s="20"/>
      <c r="E22" s="20"/>
      <c r="F22" s="20"/>
      <c r="G22" s="13"/>
      <c r="H22" s="19"/>
      <c r="I22" s="20"/>
      <c r="J22" s="20"/>
      <c r="K22" s="20"/>
      <c r="L22" s="20"/>
      <c r="M22" s="11"/>
      <c r="N22" s="461"/>
    </row>
    <row r="23" spans="1:14" ht="21" customHeight="1" thickBot="1">
      <c r="A23" s="514"/>
      <c r="B23" s="188">
        <f aca="true" t="shared" si="6" ref="B23:G23">AVERAGE(B16:B21)</f>
        <v>9002</v>
      </c>
      <c r="C23" s="188">
        <f t="shared" si="6"/>
        <v>4279.666666666667</v>
      </c>
      <c r="D23" s="188">
        <f t="shared" si="6"/>
        <v>3218.8333333333335</v>
      </c>
      <c r="E23" s="188">
        <f t="shared" si="6"/>
        <v>7075.333333333333</v>
      </c>
      <c r="F23" s="188">
        <f t="shared" si="6"/>
        <v>3241.1666666666665</v>
      </c>
      <c r="G23" s="188">
        <f t="shared" si="6"/>
        <v>26817</v>
      </c>
      <c r="H23" s="223">
        <f aca="true" t="shared" si="7" ref="H23:M23">AVERAGE(H16:H21)</f>
        <v>10876.333333333334</v>
      </c>
      <c r="I23" s="188">
        <f t="shared" si="7"/>
        <v>4929.833333333333</v>
      </c>
      <c r="J23" s="188">
        <f t="shared" si="7"/>
        <v>3414.8333333333335</v>
      </c>
      <c r="K23" s="188">
        <f t="shared" si="7"/>
        <v>8398.666666666666</v>
      </c>
      <c r="L23" s="188">
        <f>AVERAGE(L16:L21)</f>
        <v>3359.5</v>
      </c>
      <c r="M23" s="112">
        <f t="shared" si="7"/>
        <v>30979.166666666668</v>
      </c>
      <c r="N23" s="463">
        <f>M23/G23-1</f>
        <v>0.15520627462679149</v>
      </c>
    </row>
    <row r="24" spans="1:14" ht="15.75" customHeight="1">
      <c r="A24" s="513" t="s">
        <v>52</v>
      </c>
      <c r="B24" s="326"/>
      <c r="C24" s="326"/>
      <c r="D24" s="327"/>
      <c r="E24" s="327"/>
      <c r="F24" s="327"/>
      <c r="G24" s="328"/>
      <c r="H24" s="329"/>
      <c r="I24" s="326"/>
      <c r="J24" s="327"/>
      <c r="K24" s="327"/>
      <c r="L24" s="327"/>
      <c r="M24" s="459"/>
      <c r="N24" s="464"/>
    </row>
    <row r="25" spans="1:14" ht="15.75" customHeight="1" thickBot="1">
      <c r="A25" s="514"/>
      <c r="B25" s="188">
        <f aca="true" t="shared" si="8" ref="B25:G25">AVERAGE(B15,B23)</f>
        <v>8706</v>
      </c>
      <c r="C25" s="188">
        <f t="shared" si="8"/>
        <v>4433.333333333334</v>
      </c>
      <c r="D25" s="188">
        <f t="shared" si="8"/>
        <v>3968.75</v>
      </c>
      <c r="E25" s="188">
        <f t="shared" si="8"/>
        <v>7060.083333333333</v>
      </c>
      <c r="F25" s="188">
        <f t="shared" si="8"/>
        <v>3646.25</v>
      </c>
      <c r="G25" s="113">
        <f t="shared" si="8"/>
        <v>27814.416666666664</v>
      </c>
      <c r="H25" s="223">
        <f aca="true" t="shared" si="9" ref="H25:M25">AVERAGE(H15,H23)</f>
        <v>10367.333333333334</v>
      </c>
      <c r="I25" s="188">
        <f t="shared" si="9"/>
        <v>5018.166666666666</v>
      </c>
      <c r="J25" s="188">
        <f>AVERAGE(J15,J23)</f>
        <v>4320.5</v>
      </c>
      <c r="K25" s="188">
        <f t="shared" si="9"/>
        <v>8194.5</v>
      </c>
      <c r="L25" s="188">
        <f>AVERAGE(L15,L23)</f>
        <v>3928.1666666666665</v>
      </c>
      <c r="M25" s="112">
        <f t="shared" si="9"/>
        <v>31828.666666666668</v>
      </c>
      <c r="N25" s="462">
        <f>+(M25/G25)-1</f>
        <v>0.1443226384398979</v>
      </c>
    </row>
    <row r="26" spans="1:14" ht="12.75">
      <c r="A26" s="16"/>
      <c r="B26" s="16"/>
      <c r="C26" s="18"/>
      <c r="D26" s="16"/>
      <c r="E26" s="16"/>
      <c r="F26" s="16"/>
      <c r="G26" s="16"/>
      <c r="H26" s="16"/>
      <c r="I26" s="16"/>
      <c r="J26" s="1"/>
      <c r="K26" s="1"/>
      <c r="L26" s="1"/>
      <c r="M26" s="1"/>
      <c r="N26" s="1"/>
    </row>
    <row r="27" spans="1:14" ht="12.75">
      <c r="A27" s="31"/>
      <c r="B27" s="18"/>
      <c r="C27" s="16"/>
      <c r="D27" s="16"/>
      <c r="E27" s="16"/>
      <c r="F27" s="16"/>
      <c r="G27" s="16"/>
      <c r="H27" s="16"/>
      <c r="I27" s="16"/>
      <c r="J27" s="1"/>
      <c r="K27" s="1"/>
      <c r="L27" s="1"/>
      <c r="M27" s="1"/>
      <c r="N27" s="1"/>
    </row>
    <row r="28" spans="1:14" ht="12.75">
      <c r="A28" s="31"/>
      <c r="B28" s="18"/>
      <c r="C28" s="16"/>
      <c r="D28" s="16"/>
      <c r="E28" s="16"/>
      <c r="F28" s="16"/>
      <c r="G28" s="16"/>
      <c r="H28" s="16"/>
      <c r="I28" s="16"/>
      <c r="J28" s="1"/>
      <c r="K28" s="1"/>
      <c r="L28" s="1"/>
      <c r="M28" s="1"/>
      <c r="N28" s="1"/>
    </row>
    <row r="29" spans="1:14" ht="12.75">
      <c r="A29" s="1"/>
      <c r="B29" s="18"/>
      <c r="C29" s="16"/>
      <c r="D29" s="16"/>
      <c r="E29" s="16"/>
      <c r="F29" s="16"/>
      <c r="G29" s="16"/>
      <c r="H29" s="16"/>
      <c r="I29" s="16"/>
      <c r="J29" s="1"/>
      <c r="K29" s="1"/>
      <c r="L29" s="2" t="s">
        <v>15</v>
      </c>
      <c r="M29" s="1"/>
      <c r="N29" s="1"/>
    </row>
    <row r="30" spans="1:14" ht="12.75">
      <c r="A30" s="76">
        <f>'κατά επαρχία και φύλο το 2013'!A29</f>
        <v>41687</v>
      </c>
      <c r="B30" s="18"/>
      <c r="C30" s="32"/>
      <c r="D30" s="16"/>
      <c r="E30" s="16"/>
      <c r="F30" s="16"/>
      <c r="G30" s="16"/>
      <c r="H30" s="16"/>
      <c r="I30" s="16"/>
      <c r="J30" s="1"/>
      <c r="K30" s="18" t="s">
        <v>14</v>
      </c>
      <c r="L30" s="2"/>
      <c r="M30" s="1"/>
      <c r="N30" s="1"/>
    </row>
    <row r="31" spans="1:14" ht="12.75">
      <c r="A31" s="4"/>
      <c r="B31" s="18"/>
      <c r="C31" s="16"/>
      <c r="D31" s="16"/>
      <c r="E31" s="16"/>
      <c r="F31" s="16"/>
      <c r="G31" s="16"/>
      <c r="H31" s="16"/>
      <c r="I31" s="16"/>
      <c r="J31" s="1"/>
      <c r="K31" s="43"/>
      <c r="L31" s="4"/>
      <c r="M31" s="1"/>
      <c r="N31" s="1"/>
    </row>
    <row r="32" spans="1:14" ht="12.75">
      <c r="A32" s="40"/>
      <c r="B32" s="18"/>
      <c r="C32" s="16"/>
      <c r="D32" s="16"/>
      <c r="E32" s="16"/>
      <c r="F32" s="16"/>
      <c r="G32" s="16"/>
      <c r="H32" s="16"/>
      <c r="I32" s="33"/>
      <c r="J32" s="44"/>
      <c r="K32" s="43"/>
      <c r="L32" s="4"/>
      <c r="M32" s="4"/>
      <c r="N32" s="1"/>
    </row>
    <row r="33" ht="12.75">
      <c r="B33" t="s">
        <v>39</v>
      </c>
    </row>
  </sheetData>
  <sheetProtection/>
  <mergeCells count="8">
    <mergeCell ref="L1:N1"/>
    <mergeCell ref="A14:A15"/>
    <mergeCell ref="A22:A23"/>
    <mergeCell ref="A24:A25"/>
    <mergeCell ref="A2:N2"/>
    <mergeCell ref="A3:N3"/>
    <mergeCell ref="B5:G5"/>
    <mergeCell ref="H5:M5"/>
  </mergeCells>
  <printOptions/>
  <pageMargins left="0.35433070866141736" right="0.35433070866141736"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33"/>
  <sheetViews>
    <sheetView zoomScalePageLayoutView="0" workbookViewId="0" topLeftCell="A1">
      <selection activeCell="E24" sqref="E24:E25"/>
    </sheetView>
  </sheetViews>
  <sheetFormatPr defaultColWidth="9.140625" defaultRowHeight="12.75"/>
  <cols>
    <col min="1" max="1" width="13.57421875" style="0" customWidth="1"/>
    <col min="2" max="11" width="10.7109375" style="0" customWidth="1"/>
  </cols>
  <sheetData>
    <row r="1" spans="1:11" ht="12.75">
      <c r="A1" s="288" t="s">
        <v>115</v>
      </c>
      <c r="B1" s="43"/>
      <c r="C1" s="43"/>
      <c r="D1" s="43"/>
      <c r="E1" s="43"/>
      <c r="F1" s="43"/>
      <c r="G1" s="43"/>
      <c r="H1" s="43"/>
      <c r="I1" s="43"/>
      <c r="J1" s="43"/>
      <c r="K1" s="43"/>
    </row>
    <row r="2" spans="1:12" ht="12.75">
      <c r="A2" s="527" t="s">
        <v>126</v>
      </c>
      <c r="B2" s="527"/>
      <c r="C2" s="527"/>
      <c r="D2" s="527"/>
      <c r="E2" s="527"/>
      <c r="F2" s="527"/>
      <c r="G2" s="527"/>
      <c r="H2" s="527"/>
      <c r="I2" s="527"/>
      <c r="J2" s="527"/>
      <c r="K2" s="527"/>
      <c r="L2" s="99"/>
    </row>
    <row r="3" spans="1:12" ht="12.75">
      <c r="A3" s="523" t="s">
        <v>103</v>
      </c>
      <c r="B3" s="523"/>
      <c r="C3" s="523"/>
      <c r="D3" s="523"/>
      <c r="E3" s="523"/>
      <c r="F3" s="523"/>
      <c r="G3" s="523"/>
      <c r="H3" s="523"/>
      <c r="I3" s="523"/>
      <c r="J3" s="523"/>
      <c r="K3" s="523"/>
      <c r="L3" s="2"/>
    </row>
    <row r="4" spans="1:12" ht="13.5" thickBot="1">
      <c r="A4" s="1"/>
      <c r="B4" s="2"/>
      <c r="C4" s="2"/>
      <c r="D4" s="1"/>
      <c r="E4" s="1"/>
      <c r="F4" s="1"/>
      <c r="G4" s="1"/>
      <c r="H4" s="1"/>
      <c r="I4" s="1"/>
      <c r="J4" s="1"/>
      <c r="K4" s="1"/>
      <c r="L4" s="2"/>
    </row>
    <row r="5" spans="1:12" ht="12.75">
      <c r="A5" s="496"/>
      <c r="B5" s="496"/>
      <c r="C5" s="11"/>
      <c r="D5" s="12">
        <v>2012</v>
      </c>
      <c r="E5" s="11"/>
      <c r="F5" s="14"/>
      <c r="G5" s="11"/>
      <c r="H5" s="11"/>
      <c r="I5" s="12">
        <v>2013</v>
      </c>
      <c r="J5" s="11"/>
      <c r="K5" s="14"/>
      <c r="L5" s="15"/>
    </row>
    <row r="6" spans="1:12" ht="12.75">
      <c r="A6" s="497" t="s">
        <v>0</v>
      </c>
      <c r="B6" s="499"/>
      <c r="C6" s="121"/>
      <c r="D6" s="122"/>
      <c r="E6" s="121"/>
      <c r="F6" s="123"/>
      <c r="G6" s="121"/>
      <c r="H6" s="121"/>
      <c r="I6" s="122"/>
      <c r="J6" s="121"/>
      <c r="K6" s="123"/>
      <c r="L6" s="18"/>
    </row>
    <row r="7" spans="1:12" ht="15.75" customHeight="1" thickBot="1">
      <c r="A7" s="498"/>
      <c r="B7" s="503" t="s">
        <v>10</v>
      </c>
      <c r="C7" s="371" t="s">
        <v>12</v>
      </c>
      <c r="D7" s="371" t="s">
        <v>11</v>
      </c>
      <c r="E7" s="371" t="s">
        <v>12</v>
      </c>
      <c r="F7" s="315" t="s">
        <v>6</v>
      </c>
      <c r="G7" s="303" t="s">
        <v>10</v>
      </c>
      <c r="H7" s="371" t="s">
        <v>12</v>
      </c>
      <c r="I7" s="371" t="s">
        <v>11</v>
      </c>
      <c r="J7" s="371" t="s">
        <v>12</v>
      </c>
      <c r="K7" s="315" t="s">
        <v>6</v>
      </c>
      <c r="L7" s="16"/>
    </row>
    <row r="8" spans="1:12" ht="15.75" customHeight="1">
      <c r="A8" s="499" t="s">
        <v>23</v>
      </c>
      <c r="B8" s="224">
        <v>16432</v>
      </c>
      <c r="C8" s="24">
        <f aca="true" t="shared" si="0" ref="C8:C13">+B8/F8</f>
        <v>0.5090300796133949</v>
      </c>
      <c r="D8" s="25">
        <v>15849</v>
      </c>
      <c r="E8" s="24">
        <f aca="true" t="shared" si="1" ref="E8:E13">+D8/F8</f>
        <v>0.49096992038660514</v>
      </c>
      <c r="F8" s="26">
        <f aca="true" t="shared" si="2" ref="F8:F13">SUM(B8+D8)</f>
        <v>32281</v>
      </c>
      <c r="G8" s="41">
        <f>'κατά επαρχία και φύλο το 2013'!G8</f>
        <v>18626</v>
      </c>
      <c r="H8" s="24">
        <f aca="true" t="shared" si="3" ref="H8:H13">+G8/K8</f>
        <v>0.5107771622881588</v>
      </c>
      <c r="I8" s="25">
        <f>'κατά επαρχία και φύλο το 2013'!N8</f>
        <v>17840</v>
      </c>
      <c r="J8" s="24">
        <f aca="true" t="shared" si="4" ref="J8:J13">+I8/K8</f>
        <v>0.48922283771184116</v>
      </c>
      <c r="K8" s="26">
        <f aca="true" t="shared" si="5" ref="K8:K13">SUM(G8+I8)</f>
        <v>36466</v>
      </c>
      <c r="L8" s="27"/>
    </row>
    <row r="9" spans="1:12" ht="15.75" customHeight="1">
      <c r="A9" s="500" t="s">
        <v>24</v>
      </c>
      <c r="B9" s="224">
        <v>16842</v>
      </c>
      <c r="C9" s="24">
        <f t="shared" si="0"/>
        <v>0.5215694775634078</v>
      </c>
      <c r="D9" s="25">
        <v>15449</v>
      </c>
      <c r="E9" s="24">
        <f t="shared" si="1"/>
        <v>0.47843052243659223</v>
      </c>
      <c r="F9" s="26">
        <f t="shared" si="2"/>
        <v>32291</v>
      </c>
      <c r="G9" s="41">
        <f>'κατά επαρχία και φύλο το 2013'!G9</f>
        <v>18594</v>
      </c>
      <c r="H9" s="24">
        <f t="shared" si="3"/>
        <v>0.5134903758526415</v>
      </c>
      <c r="I9" s="25">
        <f>'κατά επαρχία και φύλο το 2013'!N9</f>
        <v>17617</v>
      </c>
      <c r="J9" s="24">
        <f t="shared" si="4"/>
        <v>0.48650962414735854</v>
      </c>
      <c r="K9" s="26">
        <f t="shared" si="5"/>
        <v>36211</v>
      </c>
      <c r="L9" s="27"/>
    </row>
    <row r="10" spans="1:12" ht="15.75" customHeight="1">
      <c r="A10" s="500" t="s">
        <v>25</v>
      </c>
      <c r="B10" s="28">
        <v>16860</v>
      </c>
      <c r="C10" s="24">
        <f t="shared" si="0"/>
        <v>0.5302553780349729</v>
      </c>
      <c r="D10" s="25">
        <v>14936</v>
      </c>
      <c r="E10" s="24">
        <f t="shared" si="1"/>
        <v>0.46974462196502703</v>
      </c>
      <c r="F10" s="26">
        <f t="shared" si="2"/>
        <v>31796</v>
      </c>
      <c r="G10" s="41">
        <f>'κατά επαρχία και φύλο το 2013'!G10</f>
        <v>18154</v>
      </c>
      <c r="H10" s="24">
        <f t="shared" si="3"/>
        <v>0.5152409604359426</v>
      </c>
      <c r="I10" s="25">
        <f>'κατά επαρχία και φύλο το 2013'!N10</f>
        <v>17080</v>
      </c>
      <c r="J10" s="24">
        <f t="shared" si="4"/>
        <v>0.48475903956405747</v>
      </c>
      <c r="K10" s="26">
        <f t="shared" si="5"/>
        <v>35234</v>
      </c>
      <c r="L10" s="27"/>
    </row>
    <row r="11" spans="1:12" ht="15.75" customHeight="1">
      <c r="A11" s="500" t="s">
        <v>26</v>
      </c>
      <c r="B11" s="224">
        <v>15055</v>
      </c>
      <c r="C11" s="24">
        <f t="shared" si="0"/>
        <v>0.5395863947528763</v>
      </c>
      <c r="D11" s="25">
        <v>12846</v>
      </c>
      <c r="E11" s="24">
        <f t="shared" si="1"/>
        <v>0.46041360524712377</v>
      </c>
      <c r="F11" s="26">
        <f t="shared" si="2"/>
        <v>27901</v>
      </c>
      <c r="G11" s="41">
        <f>'κατά επαρχία και φύλο το 2013'!G11</f>
        <v>17133</v>
      </c>
      <c r="H11" s="24">
        <f t="shared" si="3"/>
        <v>0.5373036033493274</v>
      </c>
      <c r="I11" s="25">
        <f>'κατά επαρχία και φύλο το 2013'!N11</f>
        <v>14754</v>
      </c>
      <c r="J11" s="24">
        <f t="shared" si="4"/>
        <v>0.4626963966506727</v>
      </c>
      <c r="K11" s="26">
        <f t="shared" si="5"/>
        <v>31887</v>
      </c>
      <c r="L11" s="27"/>
    </row>
    <row r="12" spans="1:12" ht="15.75" customHeight="1">
      <c r="A12" s="500" t="s">
        <v>27</v>
      </c>
      <c r="B12" s="28">
        <v>13591</v>
      </c>
      <c r="C12" s="24">
        <f t="shared" si="0"/>
        <v>0.5544631201044387</v>
      </c>
      <c r="D12" s="25">
        <v>10921</v>
      </c>
      <c r="E12" s="24">
        <f t="shared" si="1"/>
        <v>0.44553687989556134</v>
      </c>
      <c r="F12" s="26">
        <f t="shared" si="2"/>
        <v>24512</v>
      </c>
      <c r="G12" s="41">
        <f>'κατά επαρχία και φύλο το 2013'!G12</f>
        <v>15562</v>
      </c>
      <c r="H12" s="24">
        <f t="shared" si="3"/>
        <v>0.5561631106822487</v>
      </c>
      <c r="I12" s="25">
        <f>'κατά επαρχία και φύλο το 2013'!N12</f>
        <v>12419</v>
      </c>
      <c r="J12" s="24">
        <f t="shared" si="4"/>
        <v>0.44383688931775134</v>
      </c>
      <c r="K12" s="26">
        <f t="shared" si="5"/>
        <v>27981</v>
      </c>
      <c r="L12" s="27"/>
    </row>
    <row r="13" spans="1:12" ht="15.75" customHeight="1" thickBot="1">
      <c r="A13" s="501" t="s">
        <v>28</v>
      </c>
      <c r="B13" s="224">
        <v>12417</v>
      </c>
      <c r="C13" s="24">
        <f t="shared" si="0"/>
        <v>0.5154420921544209</v>
      </c>
      <c r="D13" s="25">
        <v>11673</v>
      </c>
      <c r="E13" s="24">
        <f t="shared" si="1"/>
        <v>0.48455790784557906</v>
      </c>
      <c r="F13" s="26">
        <f t="shared" si="2"/>
        <v>24090</v>
      </c>
      <c r="G13" s="41">
        <f>'κατά επαρχία και φύλο το 2013'!G13</f>
        <v>14881</v>
      </c>
      <c r="H13" s="24">
        <f t="shared" si="3"/>
        <v>0.5260162601626016</v>
      </c>
      <c r="I13" s="25">
        <f>'κατά επαρχία και φύλο το 2013'!N13</f>
        <v>13409</v>
      </c>
      <c r="J13" s="24">
        <f t="shared" si="4"/>
        <v>0.4739837398373984</v>
      </c>
      <c r="K13" s="26">
        <f t="shared" si="5"/>
        <v>28290</v>
      </c>
      <c r="L13" s="27"/>
    </row>
    <row r="14" spans="1:12" ht="15.75" customHeight="1">
      <c r="A14" s="528" t="s">
        <v>53</v>
      </c>
      <c r="B14" s="515">
        <f>AVERAGE(B8:B13)</f>
        <v>15199.5</v>
      </c>
      <c r="C14" s="539">
        <f>+B14/F14</f>
        <v>0.5275436597231462</v>
      </c>
      <c r="D14" s="517">
        <f>AVERAGE(D8:D13)</f>
        <v>13612.333333333334</v>
      </c>
      <c r="E14" s="539">
        <f>+D14/F14</f>
        <v>0.4724563402768539</v>
      </c>
      <c r="F14" s="541">
        <f>AVERAGE(F8:F13)</f>
        <v>28811.833333333332</v>
      </c>
      <c r="G14" s="543">
        <f>AVERAGE(G8:G13)</f>
        <v>17158.333333333332</v>
      </c>
      <c r="H14" s="539">
        <f>+G14/K14</f>
        <v>0.5250702558793078</v>
      </c>
      <c r="I14" s="517">
        <f>AVERAGE(I8:I13)</f>
        <v>15519.833333333334</v>
      </c>
      <c r="J14" s="539">
        <f>+I14/K14</f>
        <v>0.4749297441206922</v>
      </c>
      <c r="K14" s="541">
        <f>AVERAGE(K8:K13)</f>
        <v>32678.166666666668</v>
      </c>
      <c r="L14" s="16"/>
    </row>
    <row r="15" spans="1:12" ht="22.5" customHeight="1" thickBot="1">
      <c r="A15" s="529"/>
      <c r="B15" s="516"/>
      <c r="C15" s="540"/>
      <c r="D15" s="518"/>
      <c r="E15" s="540"/>
      <c r="F15" s="542"/>
      <c r="G15" s="544"/>
      <c r="H15" s="540"/>
      <c r="I15" s="518"/>
      <c r="J15" s="540"/>
      <c r="K15" s="542"/>
      <c r="L15" s="27"/>
    </row>
    <row r="16" spans="1:12" ht="15.75" customHeight="1">
      <c r="A16" s="502" t="s">
        <v>29</v>
      </c>
      <c r="B16" s="224">
        <v>12322</v>
      </c>
      <c r="C16" s="94">
        <f aca="true" t="shared" si="6" ref="C16:C21">+B16/F16</f>
        <v>0.48513721012638295</v>
      </c>
      <c r="D16" s="25">
        <v>13077</v>
      </c>
      <c r="E16" s="94">
        <f aca="true" t="shared" si="7" ref="E16:E21">+D16/F16</f>
        <v>0.5148627898736171</v>
      </c>
      <c r="F16" s="26">
        <f aca="true" t="shared" si="8" ref="F16:F21">SUM(B16+D16)</f>
        <v>25399</v>
      </c>
      <c r="G16" s="41">
        <f>'κατά επαρχία και φύλο το 2013'!G16</f>
        <v>14572</v>
      </c>
      <c r="H16" s="24">
        <f aca="true" t="shared" si="9" ref="H16:H21">+G16/K16</f>
        <v>0.4934976971010566</v>
      </c>
      <c r="I16" s="25">
        <f>'κατά επαρχία και φύλο το 2013'!N16</f>
        <v>14956</v>
      </c>
      <c r="J16" s="24">
        <f aca="true" t="shared" si="10" ref="J16:J21">+I16/K16</f>
        <v>0.5065023028989434</v>
      </c>
      <c r="K16" s="26">
        <f aca="true" t="shared" si="11" ref="K16:K21">SUM(G16+I16)</f>
        <v>29528</v>
      </c>
      <c r="L16" s="27"/>
    </row>
    <row r="17" spans="1:12" ht="15.75" customHeight="1">
      <c r="A17" s="500" t="s">
        <v>7</v>
      </c>
      <c r="B17" s="224">
        <v>11850</v>
      </c>
      <c r="C17" s="24">
        <f t="shared" si="6"/>
        <v>0.4765543312153141</v>
      </c>
      <c r="D17" s="25">
        <v>13016</v>
      </c>
      <c r="E17" s="24">
        <f t="shared" si="7"/>
        <v>0.5234456687846859</v>
      </c>
      <c r="F17" s="26">
        <f t="shared" si="8"/>
        <v>24866</v>
      </c>
      <c r="G17" s="41">
        <f>'κατά επαρχία και φύλο το 2013'!G17</f>
        <v>14462</v>
      </c>
      <c r="H17" s="24">
        <f t="shared" si="9"/>
        <v>0.4765859284890427</v>
      </c>
      <c r="I17" s="25">
        <f>'κατά επαρχία και φύλο το 2013'!N17</f>
        <v>15883</v>
      </c>
      <c r="J17" s="24">
        <f t="shared" si="10"/>
        <v>0.5234140715109573</v>
      </c>
      <c r="K17" s="26">
        <f t="shared" si="11"/>
        <v>30345</v>
      </c>
      <c r="L17" s="27"/>
    </row>
    <row r="18" spans="1:12" ht="15.75" customHeight="1">
      <c r="A18" s="500" t="s">
        <v>30</v>
      </c>
      <c r="B18" s="224">
        <v>12177</v>
      </c>
      <c r="C18" s="24">
        <f t="shared" si="6"/>
        <v>0.4887809577329105</v>
      </c>
      <c r="D18" s="25">
        <v>12736</v>
      </c>
      <c r="E18" s="24">
        <f t="shared" si="7"/>
        <v>0.5112190422670895</v>
      </c>
      <c r="F18" s="26">
        <f t="shared" si="8"/>
        <v>24913</v>
      </c>
      <c r="G18" s="41">
        <f>'κατά επαρχία και φύλο το 2013'!G18</f>
        <v>13959</v>
      </c>
      <c r="H18" s="24">
        <f t="shared" si="9"/>
        <v>0.47238578680203047</v>
      </c>
      <c r="I18" s="25">
        <f>'κατά επαρχία και φύλο το 2013'!N18</f>
        <v>15591</v>
      </c>
      <c r="J18" s="24">
        <f t="shared" si="10"/>
        <v>0.5276142131979695</v>
      </c>
      <c r="K18" s="26">
        <f t="shared" si="11"/>
        <v>29550</v>
      </c>
      <c r="L18" s="27"/>
    </row>
    <row r="19" spans="1:12" ht="15.75" customHeight="1">
      <c r="A19" s="500" t="s">
        <v>31</v>
      </c>
      <c r="B19" s="224">
        <v>12376</v>
      </c>
      <c r="C19" s="24">
        <f t="shared" si="6"/>
        <v>0.5390948294637801</v>
      </c>
      <c r="D19" s="25">
        <v>10581</v>
      </c>
      <c r="E19" s="24">
        <f t="shared" si="7"/>
        <v>0.4609051705362199</v>
      </c>
      <c r="F19" s="26">
        <f t="shared" si="8"/>
        <v>22957</v>
      </c>
      <c r="G19" s="41">
        <f>'κατά επαρχία και φύλο το 2013'!G19</f>
        <v>13850</v>
      </c>
      <c r="H19" s="24">
        <f t="shared" si="9"/>
        <v>0.5112021555383309</v>
      </c>
      <c r="I19" s="25">
        <f>'κατά επαρχία και φύλο το 2013'!N19</f>
        <v>13243</v>
      </c>
      <c r="J19" s="24">
        <f t="shared" si="10"/>
        <v>0.4887978444616691</v>
      </c>
      <c r="K19" s="26">
        <f t="shared" si="11"/>
        <v>27093</v>
      </c>
      <c r="L19" s="27"/>
    </row>
    <row r="20" spans="1:12" ht="15.75" customHeight="1">
      <c r="A20" s="500" t="s">
        <v>32</v>
      </c>
      <c r="B20" s="224">
        <v>15214</v>
      </c>
      <c r="C20" s="24">
        <f t="shared" si="6"/>
        <v>0.5176062327765114</v>
      </c>
      <c r="D20" s="25">
        <v>14179</v>
      </c>
      <c r="E20" s="24">
        <f t="shared" si="7"/>
        <v>0.4823937672234886</v>
      </c>
      <c r="F20" s="26">
        <f t="shared" si="8"/>
        <v>29393</v>
      </c>
      <c r="G20" s="41">
        <f>'κατά επαρχία και φύλο το 2013'!G20</f>
        <v>16516</v>
      </c>
      <c r="H20" s="24">
        <f t="shared" si="9"/>
        <v>0.5059583984315167</v>
      </c>
      <c r="I20" s="25">
        <f>'κατά επαρχία και φύλο το 2013'!N20</f>
        <v>16127</v>
      </c>
      <c r="J20" s="24">
        <f t="shared" si="10"/>
        <v>0.4940416015684833</v>
      </c>
      <c r="K20" s="26">
        <f t="shared" si="11"/>
        <v>32643</v>
      </c>
      <c r="L20" s="27"/>
    </row>
    <row r="21" spans="1:12" ht="15.75" customHeight="1" thickBot="1">
      <c r="A21" s="501" t="s">
        <v>33</v>
      </c>
      <c r="B21" s="504">
        <v>17183</v>
      </c>
      <c r="C21" s="388">
        <f t="shared" si="6"/>
        <v>0.514861868520405</v>
      </c>
      <c r="D21" s="363">
        <v>16191</v>
      </c>
      <c r="E21" s="388">
        <f t="shared" si="7"/>
        <v>0.4851381314795949</v>
      </c>
      <c r="F21" s="389">
        <f t="shared" si="8"/>
        <v>33374</v>
      </c>
      <c r="G21" s="41">
        <f>'κατά επαρχία και φύλο το 2013'!G21</f>
        <v>18394</v>
      </c>
      <c r="H21" s="24">
        <f t="shared" si="9"/>
        <v>0.5009804989650288</v>
      </c>
      <c r="I21" s="25">
        <f>'κατά επαρχία και φύλο το 2013'!N21</f>
        <v>18322</v>
      </c>
      <c r="J21" s="24">
        <f t="shared" si="10"/>
        <v>0.4990195010349711</v>
      </c>
      <c r="K21" s="26">
        <f t="shared" si="11"/>
        <v>36716</v>
      </c>
      <c r="L21" s="27"/>
    </row>
    <row r="22" spans="1:12" ht="15.75" customHeight="1" thickBot="1">
      <c r="A22" s="530" t="s">
        <v>51</v>
      </c>
      <c r="B22" s="534">
        <f>AVERAGE(B16:B21)</f>
        <v>13520.333333333334</v>
      </c>
      <c r="C22" s="535">
        <f>+B22/F22</f>
        <v>0.5041702402704752</v>
      </c>
      <c r="D22" s="536">
        <f>AVERAGE(D16:D21)</f>
        <v>13296.666666666666</v>
      </c>
      <c r="E22" s="535">
        <f>+D22/F22</f>
        <v>0.49582975972952475</v>
      </c>
      <c r="F22" s="537">
        <f aca="true" t="shared" si="12" ref="F22:K22">AVERAGE(F16:F21)</f>
        <v>26817</v>
      </c>
      <c r="G22" s="538">
        <f>AVERAGE(G16:G21)</f>
        <v>15292.166666666666</v>
      </c>
      <c r="H22" s="535">
        <f>G22/K22</f>
        <v>0.49362743779421653</v>
      </c>
      <c r="I22" s="536">
        <f t="shared" si="12"/>
        <v>15687</v>
      </c>
      <c r="J22" s="535">
        <f>I22/K22</f>
        <v>0.5063725622057834</v>
      </c>
      <c r="K22" s="537">
        <f t="shared" si="12"/>
        <v>30979.166666666668</v>
      </c>
      <c r="L22" s="23"/>
    </row>
    <row r="23" spans="1:12" ht="32.25" customHeight="1" thickBot="1">
      <c r="A23" s="531"/>
      <c r="B23" s="534"/>
      <c r="C23" s="535"/>
      <c r="D23" s="536"/>
      <c r="E23" s="535"/>
      <c r="F23" s="537"/>
      <c r="G23" s="538"/>
      <c r="H23" s="535"/>
      <c r="I23" s="536"/>
      <c r="J23" s="535"/>
      <c r="K23" s="537"/>
      <c r="L23" s="27"/>
    </row>
    <row r="24" spans="1:12" ht="15.75" customHeight="1" thickBot="1">
      <c r="A24" s="532" t="s">
        <v>52</v>
      </c>
      <c r="B24" s="534">
        <f>AVERAGE(B14,B22)</f>
        <v>14359.916666666668</v>
      </c>
      <c r="C24" s="535">
        <f>+B24/F24</f>
        <v>0.5162760319139057</v>
      </c>
      <c r="D24" s="536">
        <f>AVERAGE(D14,D22)</f>
        <v>13454.5</v>
      </c>
      <c r="E24" s="535">
        <f>+D24/F24</f>
        <v>0.48372396808609447</v>
      </c>
      <c r="F24" s="537">
        <f>AVERAGE(F14,F22)</f>
        <v>27814.416666666664</v>
      </c>
      <c r="G24" s="538">
        <f>AVERAGE(G14,G22)</f>
        <v>16225.25</v>
      </c>
      <c r="H24" s="535">
        <f>G24/K24</f>
        <v>0.5097684477305573</v>
      </c>
      <c r="I24" s="536">
        <f>AVERAGE(I14,I22)</f>
        <v>15603.416666666668</v>
      </c>
      <c r="J24" s="535">
        <f>I24/K24</f>
        <v>0.49023155226944265</v>
      </c>
      <c r="K24" s="537">
        <f>AVERAGE(K14,K22)</f>
        <v>31828.666666666668</v>
      </c>
      <c r="L24" s="23"/>
    </row>
    <row r="25" spans="1:12" ht="31.5" customHeight="1" thickBot="1">
      <c r="A25" s="532"/>
      <c r="B25" s="534"/>
      <c r="C25" s="535"/>
      <c r="D25" s="536"/>
      <c r="E25" s="535"/>
      <c r="F25" s="537"/>
      <c r="G25" s="538"/>
      <c r="H25" s="535"/>
      <c r="I25" s="536"/>
      <c r="J25" s="535"/>
      <c r="K25" s="537"/>
      <c r="L25" s="27"/>
    </row>
    <row r="26" spans="1:12" ht="12.75">
      <c r="A26" s="1"/>
      <c r="B26" s="1"/>
      <c r="C26" s="1"/>
      <c r="D26" s="1"/>
      <c r="E26" s="1"/>
      <c r="F26" s="1"/>
      <c r="G26" s="1"/>
      <c r="H26" s="1"/>
      <c r="I26" s="1"/>
      <c r="J26" s="1"/>
      <c r="K26" s="1"/>
      <c r="L26" s="23"/>
    </row>
    <row r="27" spans="1:11" ht="14.25">
      <c r="A27" s="9"/>
      <c r="B27" s="1"/>
      <c r="C27" s="1"/>
      <c r="D27" s="1"/>
      <c r="E27" s="1"/>
      <c r="F27" s="1"/>
      <c r="G27" s="1"/>
      <c r="H27" s="1"/>
      <c r="I27" s="1"/>
      <c r="J27" s="1"/>
      <c r="K27" s="1"/>
    </row>
    <row r="28" spans="1:11" ht="12.75">
      <c r="A28" s="1"/>
      <c r="B28" s="1"/>
      <c r="C28" s="1"/>
      <c r="D28" s="1"/>
      <c r="E28" s="1"/>
      <c r="F28" s="1"/>
      <c r="G28" s="1"/>
      <c r="H28" s="163"/>
      <c r="I28" s="164" t="s">
        <v>15</v>
      </c>
      <c r="J28" s="163"/>
      <c r="K28" s="1"/>
    </row>
    <row r="29" spans="1:11" ht="12.75">
      <c r="A29" s="76">
        <f>'κατά επαρχία,  μήνα 2012,2013'!A30</f>
        <v>41687</v>
      </c>
      <c r="B29" s="1"/>
      <c r="C29" s="1"/>
      <c r="D29" s="1"/>
      <c r="E29" s="1"/>
      <c r="F29" s="1"/>
      <c r="G29" s="1"/>
      <c r="H29" s="533" t="s">
        <v>14</v>
      </c>
      <c r="I29" s="533"/>
      <c r="J29" s="533"/>
      <c r="K29" s="533"/>
    </row>
    <row r="30" spans="1:11" ht="12.75">
      <c r="A30" s="4"/>
      <c r="B30" s="1"/>
      <c r="C30" s="1"/>
      <c r="D30" s="1"/>
      <c r="E30" s="1"/>
      <c r="F30" s="4"/>
      <c r="G30" s="4"/>
      <c r="H30" s="1"/>
      <c r="I30" s="43"/>
      <c r="J30" s="1"/>
      <c r="K30" s="1"/>
    </row>
    <row r="31" spans="1:11" ht="12.75">
      <c r="A31" s="40"/>
      <c r="B31" s="1"/>
      <c r="C31" s="1"/>
      <c r="D31" s="1"/>
      <c r="E31" s="1"/>
      <c r="F31" s="1"/>
      <c r="G31" s="1"/>
      <c r="H31" s="43"/>
      <c r="I31" s="43"/>
      <c r="J31" s="4"/>
      <c r="K31" s="1"/>
    </row>
    <row r="32" spans="1:11" ht="12.75">
      <c r="A32" s="1"/>
      <c r="B32" s="1"/>
      <c r="C32" s="1"/>
      <c r="D32" s="1"/>
      <c r="E32" s="1"/>
      <c r="F32" s="1"/>
      <c r="G32" s="1"/>
      <c r="H32" s="1"/>
      <c r="I32" s="1"/>
      <c r="J32" s="1"/>
      <c r="K32" s="1"/>
    </row>
    <row r="33" spans="1:11" ht="12.75">
      <c r="A33" s="1"/>
      <c r="B33" s="1"/>
      <c r="C33" s="1"/>
      <c r="D33" s="1"/>
      <c r="E33" s="1"/>
      <c r="F33" s="1"/>
      <c r="G33" s="1"/>
      <c r="H33" s="1"/>
      <c r="I33" s="1"/>
      <c r="J33" s="1"/>
      <c r="K33" s="1"/>
    </row>
  </sheetData>
  <sheetProtection/>
  <mergeCells count="36">
    <mergeCell ref="H14:H15"/>
    <mergeCell ref="I14:I15"/>
    <mergeCell ref="J14:J15"/>
    <mergeCell ref="K14:K15"/>
    <mergeCell ref="B14:B15"/>
    <mergeCell ref="C14:C15"/>
    <mergeCell ref="D14:D15"/>
    <mergeCell ref="E14:E15"/>
    <mergeCell ref="F14:F15"/>
    <mergeCell ref="G14:G15"/>
    <mergeCell ref="J22:J23"/>
    <mergeCell ref="K22:K23"/>
    <mergeCell ref="D24:D25"/>
    <mergeCell ref="E24:E25"/>
    <mergeCell ref="F24:F25"/>
    <mergeCell ref="G24:G25"/>
    <mergeCell ref="H24:H25"/>
    <mergeCell ref="I24:I25"/>
    <mergeCell ref="J24:J25"/>
    <mergeCell ref="K24:K25"/>
    <mergeCell ref="D22:D23"/>
    <mergeCell ref="E22:E23"/>
    <mergeCell ref="F22:F23"/>
    <mergeCell ref="G22:G23"/>
    <mergeCell ref="H22:H23"/>
    <mergeCell ref="I22:I23"/>
    <mergeCell ref="A2:K2"/>
    <mergeCell ref="A3:K3"/>
    <mergeCell ref="A14:A15"/>
    <mergeCell ref="A22:A23"/>
    <mergeCell ref="A24:A25"/>
    <mergeCell ref="H29:K29"/>
    <mergeCell ref="B22:B23"/>
    <mergeCell ref="B24:B25"/>
    <mergeCell ref="C22:C23"/>
    <mergeCell ref="C24:C25"/>
  </mergeCells>
  <printOptions/>
  <pageMargins left="0.7874015748031497" right="0.3937007874015748" top="0.7874015748031497"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U46"/>
  <sheetViews>
    <sheetView zoomScalePageLayoutView="0" workbookViewId="0" topLeftCell="A1">
      <selection activeCell="W19" sqref="W19"/>
    </sheetView>
  </sheetViews>
  <sheetFormatPr defaultColWidth="9.140625" defaultRowHeight="12.75"/>
  <cols>
    <col min="1" max="1" width="16.421875" style="0" customWidth="1"/>
    <col min="2" max="3" width="9.140625" style="0" hidden="1" customWidth="1"/>
    <col min="4" max="4" width="14.00390625" style="0" hidden="1" customWidth="1"/>
    <col min="5" max="5" width="13.57421875" style="0" hidden="1" customWidth="1"/>
    <col min="6" max="6" width="13.140625" style="0" hidden="1" customWidth="1"/>
    <col min="7" max="7" width="12.8515625" style="0" hidden="1" customWidth="1"/>
    <col min="8" max="8" width="13.00390625" style="0" hidden="1" customWidth="1"/>
    <col min="9" max="9" width="12.7109375" style="0" hidden="1" customWidth="1"/>
    <col min="10" max="10" width="13.00390625" style="0" hidden="1" customWidth="1"/>
    <col min="11" max="11" width="11.7109375" style="0" hidden="1" customWidth="1"/>
    <col min="12" max="12" width="13.140625" style="0" hidden="1" customWidth="1"/>
    <col min="13" max="20" width="10.7109375" style="0" customWidth="1"/>
    <col min="21" max="21" width="10.8515625" style="0" customWidth="1"/>
  </cols>
  <sheetData>
    <row r="1" ht="12" customHeight="1"/>
    <row r="2" ht="19.5" customHeight="1">
      <c r="A2" s="287" t="s">
        <v>116</v>
      </c>
    </row>
    <row r="3" spans="1:21" s="4" customFormat="1" ht="29.25" customHeight="1">
      <c r="A3" s="547" t="s">
        <v>100</v>
      </c>
      <c r="B3" s="547"/>
      <c r="C3" s="547"/>
      <c r="D3" s="547"/>
      <c r="E3" s="547"/>
      <c r="F3" s="547"/>
      <c r="G3" s="547"/>
      <c r="H3" s="547"/>
      <c r="I3" s="547"/>
      <c r="J3" s="547"/>
      <c r="K3" s="547"/>
      <c r="L3" s="547"/>
      <c r="M3" s="547"/>
      <c r="N3" s="547"/>
      <c r="O3" s="547"/>
      <c r="P3" s="547"/>
      <c r="Q3" s="547"/>
      <c r="R3" s="547"/>
      <c r="S3" s="547"/>
      <c r="T3" s="547"/>
      <c r="U3" s="547"/>
    </row>
    <row r="4" spans="1:17" ht="15.75" thickBot="1">
      <c r="A4" s="9"/>
      <c r="B4" s="9"/>
      <c r="C4" s="9"/>
      <c r="D4" s="9"/>
      <c r="E4" s="9"/>
      <c r="F4" s="546"/>
      <c r="G4" s="546"/>
      <c r="H4" s="546"/>
      <c r="I4" s="546"/>
      <c r="J4" s="546"/>
      <c r="K4" s="546"/>
      <c r="L4" s="546"/>
      <c r="M4" s="546"/>
      <c r="N4" s="546"/>
      <c r="O4" s="546"/>
      <c r="P4" s="546"/>
      <c r="Q4" s="546"/>
    </row>
    <row r="5" spans="1:21" ht="25.5" customHeight="1" thickBot="1">
      <c r="A5" s="376" t="s">
        <v>0</v>
      </c>
      <c r="B5" s="379">
        <v>1995</v>
      </c>
      <c r="C5" s="377">
        <v>1996</v>
      </c>
      <c r="D5" s="377">
        <v>1997</v>
      </c>
      <c r="E5" s="377">
        <v>1998</v>
      </c>
      <c r="F5" s="377">
        <v>1999</v>
      </c>
      <c r="G5" s="377">
        <v>2000</v>
      </c>
      <c r="H5" s="377">
        <v>2001</v>
      </c>
      <c r="I5" s="378">
        <v>2002</v>
      </c>
      <c r="J5" s="378">
        <v>2003</v>
      </c>
      <c r="K5" s="378">
        <v>2004</v>
      </c>
      <c r="L5" s="505">
        <v>2005</v>
      </c>
      <c r="M5" s="390">
        <v>2006</v>
      </c>
      <c r="N5" s="391">
        <v>2007</v>
      </c>
      <c r="O5" s="391">
        <v>2008</v>
      </c>
      <c r="P5" s="391">
        <v>2009</v>
      </c>
      <c r="Q5" s="391">
        <v>2010</v>
      </c>
      <c r="R5" s="391">
        <v>2011</v>
      </c>
      <c r="S5" s="391">
        <v>2012</v>
      </c>
      <c r="T5" s="466">
        <v>2013</v>
      </c>
      <c r="U5" s="467" t="s">
        <v>101</v>
      </c>
    </row>
    <row r="6" spans="1:21" ht="18" customHeight="1">
      <c r="A6" s="346" t="s">
        <v>23</v>
      </c>
      <c r="B6" s="380">
        <v>9930</v>
      </c>
      <c r="C6" s="372">
        <v>11018</v>
      </c>
      <c r="D6" s="372">
        <v>13246</v>
      </c>
      <c r="E6" s="372">
        <v>11830</v>
      </c>
      <c r="F6" s="372">
        <v>14649</v>
      </c>
      <c r="G6" s="372">
        <v>14167</v>
      </c>
      <c r="H6" s="372">
        <f>15282-717</f>
        <v>14565</v>
      </c>
      <c r="I6" s="372">
        <v>14545</v>
      </c>
      <c r="J6" s="373">
        <v>15305</v>
      </c>
      <c r="K6" s="374">
        <v>15193</v>
      </c>
      <c r="L6" s="332">
        <v>18220</v>
      </c>
      <c r="M6" s="334">
        <v>18391</v>
      </c>
      <c r="N6" s="331">
        <v>18001</v>
      </c>
      <c r="O6" s="331">
        <v>16578</v>
      </c>
      <c r="P6" s="331">
        <v>18238</v>
      </c>
      <c r="Q6" s="331">
        <v>24817</v>
      </c>
      <c r="R6" s="331">
        <v>26664</v>
      </c>
      <c r="S6" s="332">
        <v>32281</v>
      </c>
      <c r="T6" s="331">
        <v>36466</v>
      </c>
      <c r="U6" s="375">
        <f aca="true" t="shared" si="0" ref="U6:U16">(T6/S6)-1</f>
        <v>0.12964282395217008</v>
      </c>
    </row>
    <row r="7" spans="1:21" ht="18" customHeight="1">
      <c r="A7" s="347" t="s">
        <v>24</v>
      </c>
      <c r="B7" s="165">
        <v>9756</v>
      </c>
      <c r="C7" s="158">
        <v>11053</v>
      </c>
      <c r="D7" s="158">
        <v>12655</v>
      </c>
      <c r="E7" s="158">
        <v>12110</v>
      </c>
      <c r="F7" s="158">
        <v>14815</v>
      </c>
      <c r="G7" s="158">
        <f>15542-1303</f>
        <v>14239</v>
      </c>
      <c r="H7" s="158">
        <v>14236</v>
      </c>
      <c r="I7" s="158">
        <v>14539</v>
      </c>
      <c r="J7" s="158">
        <v>15608</v>
      </c>
      <c r="K7" s="165">
        <v>15554</v>
      </c>
      <c r="L7" s="169">
        <v>17868</v>
      </c>
      <c r="M7" s="117">
        <v>17832</v>
      </c>
      <c r="N7" s="114">
        <v>17372</v>
      </c>
      <c r="O7" s="114">
        <v>15781</v>
      </c>
      <c r="P7" s="114">
        <v>18809</v>
      </c>
      <c r="Q7" s="114">
        <v>24511</v>
      </c>
      <c r="R7" s="114">
        <v>26506</v>
      </c>
      <c r="S7" s="169">
        <v>32291</v>
      </c>
      <c r="T7" s="252">
        <v>36211</v>
      </c>
      <c r="U7" s="225">
        <f t="shared" si="0"/>
        <v>0.12139605462822467</v>
      </c>
    </row>
    <row r="8" spans="1:21" ht="18" customHeight="1">
      <c r="A8" s="347" t="s">
        <v>25</v>
      </c>
      <c r="B8" s="165">
        <v>8180</v>
      </c>
      <c r="C8" s="158">
        <v>9737</v>
      </c>
      <c r="D8" s="158">
        <v>11429</v>
      </c>
      <c r="E8" s="158">
        <v>12131</v>
      </c>
      <c r="F8" s="158">
        <v>14042</v>
      </c>
      <c r="G8" s="158">
        <v>13613</v>
      </c>
      <c r="H8" s="158">
        <f>13932-661</f>
        <v>13271</v>
      </c>
      <c r="I8" s="158">
        <v>13023</v>
      </c>
      <c r="J8" s="158">
        <v>14691</v>
      </c>
      <c r="K8" s="165">
        <v>14131</v>
      </c>
      <c r="L8" s="169">
        <v>16725</v>
      </c>
      <c r="M8" s="117">
        <v>16958</v>
      </c>
      <c r="N8" s="114">
        <v>16224</v>
      </c>
      <c r="O8" s="114">
        <v>14766</v>
      </c>
      <c r="P8" s="114">
        <v>18544</v>
      </c>
      <c r="Q8" s="114">
        <v>24127</v>
      </c>
      <c r="R8" s="114">
        <v>25390</v>
      </c>
      <c r="S8" s="251">
        <v>31796</v>
      </c>
      <c r="T8" s="252">
        <v>35234</v>
      </c>
      <c r="U8" s="225">
        <f t="shared" si="0"/>
        <v>0.1081268084035727</v>
      </c>
    </row>
    <row r="9" spans="1:21" ht="18" customHeight="1">
      <c r="A9" s="347" t="s">
        <v>26</v>
      </c>
      <c r="B9" s="165">
        <v>4784</v>
      </c>
      <c r="C9" s="158">
        <v>6373</v>
      </c>
      <c r="D9" s="158">
        <v>7704</v>
      </c>
      <c r="E9" s="158">
        <v>7688</v>
      </c>
      <c r="F9" s="158">
        <v>8442</v>
      </c>
      <c r="G9" s="158">
        <f>9893-687</f>
        <v>9206</v>
      </c>
      <c r="H9" s="158">
        <f>9015-407</f>
        <v>8608</v>
      </c>
      <c r="I9" s="158">
        <v>7645</v>
      </c>
      <c r="J9" s="159" t="s">
        <v>22</v>
      </c>
      <c r="K9" s="165">
        <v>8906</v>
      </c>
      <c r="L9" s="169">
        <v>11089</v>
      </c>
      <c r="M9" s="117">
        <v>12239</v>
      </c>
      <c r="N9" s="114">
        <v>11566</v>
      </c>
      <c r="O9" s="114">
        <v>10318</v>
      </c>
      <c r="P9" s="114">
        <v>14862</v>
      </c>
      <c r="Q9" s="114">
        <v>18931</v>
      </c>
      <c r="R9" s="114">
        <v>21153</v>
      </c>
      <c r="S9" s="169">
        <v>27901</v>
      </c>
      <c r="T9" s="252">
        <v>31887</v>
      </c>
      <c r="U9" s="225">
        <f t="shared" si="0"/>
        <v>0.1428622630013261</v>
      </c>
    </row>
    <row r="10" spans="1:21" ht="18" customHeight="1">
      <c r="A10" s="347" t="s">
        <v>27</v>
      </c>
      <c r="B10" s="165">
        <v>4863</v>
      </c>
      <c r="C10" s="158">
        <v>6134</v>
      </c>
      <c r="D10" s="158">
        <v>7510</v>
      </c>
      <c r="E10" s="158">
        <v>7129</v>
      </c>
      <c r="F10" s="158">
        <v>7827</v>
      </c>
      <c r="G10" s="158">
        <v>8703</v>
      </c>
      <c r="H10" s="158">
        <f>8652-291</f>
        <v>8361</v>
      </c>
      <c r="I10" s="158">
        <v>6862</v>
      </c>
      <c r="J10" s="158">
        <v>8573</v>
      </c>
      <c r="K10" s="165">
        <v>7739</v>
      </c>
      <c r="L10" s="169">
        <v>10521</v>
      </c>
      <c r="M10" s="117">
        <v>10922</v>
      </c>
      <c r="N10" s="114">
        <v>9409</v>
      </c>
      <c r="O10" s="114">
        <v>8802</v>
      </c>
      <c r="P10" s="114">
        <v>13253</v>
      </c>
      <c r="Q10" s="114">
        <v>16873</v>
      </c>
      <c r="R10" s="114">
        <v>18627</v>
      </c>
      <c r="S10" s="169">
        <v>24512</v>
      </c>
      <c r="T10" s="252">
        <v>27981</v>
      </c>
      <c r="U10" s="225">
        <f t="shared" si="0"/>
        <v>0.14152251958224538</v>
      </c>
    </row>
    <row r="11" spans="1:21" ht="18" customHeight="1" thickBot="1">
      <c r="A11" s="348" t="s">
        <v>28</v>
      </c>
      <c r="B11" s="165">
        <v>5189</v>
      </c>
      <c r="C11" s="158">
        <v>6841</v>
      </c>
      <c r="D11" s="158">
        <v>7867</v>
      </c>
      <c r="E11" s="158">
        <v>7712</v>
      </c>
      <c r="F11" s="158">
        <v>8201</v>
      </c>
      <c r="G11" s="158">
        <v>8720</v>
      </c>
      <c r="H11" s="158">
        <f>8952-233</f>
        <v>8719</v>
      </c>
      <c r="I11" s="158">
        <v>7303</v>
      </c>
      <c r="J11" s="158">
        <v>8243</v>
      </c>
      <c r="K11" s="165">
        <v>8029</v>
      </c>
      <c r="L11" s="169">
        <v>10762</v>
      </c>
      <c r="M11" s="392">
        <v>10769</v>
      </c>
      <c r="N11" s="382">
        <v>9820</v>
      </c>
      <c r="O11" s="382">
        <v>9044</v>
      </c>
      <c r="P11" s="382">
        <v>14394</v>
      </c>
      <c r="Q11" s="382">
        <v>17593</v>
      </c>
      <c r="R11" s="382">
        <v>19276</v>
      </c>
      <c r="S11" s="386">
        <v>24090</v>
      </c>
      <c r="T11" s="383">
        <v>28290</v>
      </c>
      <c r="U11" s="385">
        <f t="shared" si="0"/>
        <v>0.17434620174346205</v>
      </c>
    </row>
    <row r="12" spans="1:21" ht="38.25" customHeight="1" thickBot="1">
      <c r="A12" s="381" t="s">
        <v>49</v>
      </c>
      <c r="B12" s="168">
        <f aca="true" t="shared" si="1" ref="B12:L12">AVERAGE(B6:B11)</f>
        <v>7117</v>
      </c>
      <c r="C12" s="166">
        <f t="shared" si="1"/>
        <v>8526</v>
      </c>
      <c r="D12" s="166">
        <f t="shared" si="1"/>
        <v>10068.5</v>
      </c>
      <c r="E12" s="166">
        <f t="shared" si="1"/>
        <v>9766.666666666666</v>
      </c>
      <c r="F12" s="166">
        <f t="shared" si="1"/>
        <v>11329.333333333334</v>
      </c>
      <c r="G12" s="166">
        <f t="shared" si="1"/>
        <v>11441.333333333334</v>
      </c>
      <c r="H12" s="166">
        <f t="shared" si="1"/>
        <v>11293.333333333334</v>
      </c>
      <c r="I12" s="166">
        <f t="shared" si="1"/>
        <v>10652.833333333334</v>
      </c>
      <c r="J12" s="166">
        <f t="shared" si="1"/>
        <v>12484</v>
      </c>
      <c r="K12" s="168">
        <f t="shared" si="1"/>
        <v>11592</v>
      </c>
      <c r="L12" s="170">
        <f t="shared" si="1"/>
        <v>14197.5</v>
      </c>
      <c r="M12" s="274">
        <f aca="true" t="shared" si="2" ref="M12:T12">AVERAGE(M6:M11)</f>
        <v>14518.5</v>
      </c>
      <c r="N12" s="259">
        <f t="shared" si="2"/>
        <v>13732</v>
      </c>
      <c r="O12" s="259">
        <f t="shared" si="2"/>
        <v>12548.166666666666</v>
      </c>
      <c r="P12" s="259">
        <f t="shared" si="2"/>
        <v>16350</v>
      </c>
      <c r="Q12" s="259">
        <f t="shared" si="2"/>
        <v>21142</v>
      </c>
      <c r="R12" s="259">
        <f t="shared" si="2"/>
        <v>22936</v>
      </c>
      <c r="S12" s="259">
        <f t="shared" si="2"/>
        <v>28811.833333333332</v>
      </c>
      <c r="T12" s="259">
        <f t="shared" si="2"/>
        <v>32678.166666666668</v>
      </c>
      <c r="U12" s="226">
        <f t="shared" si="0"/>
        <v>0.1341925482006816</v>
      </c>
    </row>
    <row r="13" spans="1:21" ht="18" customHeight="1">
      <c r="A13" s="346" t="s">
        <v>29</v>
      </c>
      <c r="B13" s="165">
        <v>6680</v>
      </c>
      <c r="C13" s="158">
        <v>7962</v>
      </c>
      <c r="D13" s="158">
        <v>8980</v>
      </c>
      <c r="E13" s="158">
        <v>8604</v>
      </c>
      <c r="F13" s="158">
        <v>9632</v>
      </c>
      <c r="G13" s="158">
        <f>10233-352</f>
        <v>9881</v>
      </c>
      <c r="H13" s="158">
        <f>296+9999-310</f>
        <v>9985</v>
      </c>
      <c r="I13" s="158">
        <v>8758</v>
      </c>
      <c r="J13" s="158">
        <v>9772</v>
      </c>
      <c r="K13" s="165">
        <v>9509</v>
      </c>
      <c r="L13" s="169">
        <v>11705</v>
      </c>
      <c r="M13" s="334">
        <v>11835</v>
      </c>
      <c r="N13" s="331">
        <v>10821</v>
      </c>
      <c r="O13" s="331">
        <v>10313</v>
      </c>
      <c r="P13" s="331">
        <v>15817</v>
      </c>
      <c r="Q13" s="331">
        <v>18443</v>
      </c>
      <c r="R13" s="331">
        <v>20024</v>
      </c>
      <c r="S13" s="332">
        <v>25399</v>
      </c>
      <c r="T13" s="387">
        <v>29528</v>
      </c>
      <c r="U13" s="375">
        <f t="shared" si="0"/>
        <v>0.16256545533288702</v>
      </c>
    </row>
    <row r="14" spans="1:21" ht="18" customHeight="1">
      <c r="A14" s="347" t="s">
        <v>7</v>
      </c>
      <c r="B14" s="165">
        <v>6621</v>
      </c>
      <c r="C14" s="158">
        <v>7849</v>
      </c>
      <c r="D14" s="158">
        <v>8752</v>
      </c>
      <c r="E14" s="158">
        <v>8486</v>
      </c>
      <c r="F14" s="158">
        <v>9969</v>
      </c>
      <c r="G14" s="158">
        <v>10059</v>
      </c>
      <c r="H14" s="158">
        <f>10342-300</f>
        <v>10042</v>
      </c>
      <c r="I14" s="158">
        <v>8633</v>
      </c>
      <c r="J14" s="158">
        <v>9178</v>
      </c>
      <c r="K14" s="165">
        <v>9132</v>
      </c>
      <c r="L14" s="169">
        <v>11668</v>
      </c>
      <c r="M14" s="117">
        <v>11752</v>
      </c>
      <c r="N14" s="114">
        <v>10761</v>
      </c>
      <c r="O14" s="114">
        <v>10335</v>
      </c>
      <c r="P14" s="114">
        <v>15904</v>
      </c>
      <c r="Q14" s="114">
        <v>17925</v>
      </c>
      <c r="R14" s="114">
        <v>20501</v>
      </c>
      <c r="S14" s="169">
        <v>24866</v>
      </c>
      <c r="T14" s="252">
        <v>30345</v>
      </c>
      <c r="U14" s="225">
        <f t="shared" si="0"/>
        <v>0.22034102790959542</v>
      </c>
    </row>
    <row r="15" spans="1:21" ht="18" customHeight="1">
      <c r="A15" s="347" t="s">
        <v>30</v>
      </c>
      <c r="B15" s="165">
        <v>6233</v>
      </c>
      <c r="C15" s="158">
        <v>7440</v>
      </c>
      <c r="D15" s="158">
        <v>8025</v>
      </c>
      <c r="E15" s="158">
        <v>8409</v>
      </c>
      <c r="F15" s="158">
        <v>9418</v>
      </c>
      <c r="G15" s="158">
        <v>9135</v>
      </c>
      <c r="H15" s="158">
        <f>9554-295</f>
        <v>9259</v>
      </c>
      <c r="I15" s="158">
        <v>7951</v>
      </c>
      <c r="J15" s="158">
        <v>8299</v>
      </c>
      <c r="K15" s="165">
        <v>8609</v>
      </c>
      <c r="L15" s="169">
        <v>11135</v>
      </c>
      <c r="M15" s="117">
        <v>11508</v>
      </c>
      <c r="N15" s="114">
        <v>10617</v>
      </c>
      <c r="O15" s="114">
        <v>9697</v>
      </c>
      <c r="P15" s="114">
        <v>15896</v>
      </c>
      <c r="Q15" s="114">
        <v>17103</v>
      </c>
      <c r="R15" s="114">
        <v>20171</v>
      </c>
      <c r="S15" s="251">
        <v>24913</v>
      </c>
      <c r="T15" s="252">
        <v>29550</v>
      </c>
      <c r="U15" s="225">
        <f>(T15/S15)-1</f>
        <v>0.18612772448119452</v>
      </c>
    </row>
    <row r="16" spans="1:21" ht="18" customHeight="1">
      <c r="A16" s="347" t="s">
        <v>31</v>
      </c>
      <c r="B16" s="165">
        <v>6119</v>
      </c>
      <c r="C16" s="158">
        <v>7280</v>
      </c>
      <c r="D16" s="158">
        <v>7475</v>
      </c>
      <c r="E16" s="158">
        <v>7732</v>
      </c>
      <c r="F16" s="158">
        <v>7380</v>
      </c>
      <c r="G16" s="158">
        <f>8844-329</f>
        <v>8515</v>
      </c>
      <c r="H16" s="158">
        <f>9483-298</f>
        <v>9185</v>
      </c>
      <c r="I16" s="158">
        <v>7450</v>
      </c>
      <c r="J16" s="158">
        <v>7894</v>
      </c>
      <c r="K16" s="165">
        <v>8105</v>
      </c>
      <c r="L16" s="169">
        <v>9847</v>
      </c>
      <c r="M16" s="117">
        <v>9396</v>
      </c>
      <c r="N16" s="114">
        <v>8345</v>
      </c>
      <c r="O16" s="114">
        <v>8194</v>
      </c>
      <c r="P16" s="114">
        <v>14225</v>
      </c>
      <c r="Q16" s="114">
        <v>15052</v>
      </c>
      <c r="R16" s="114">
        <v>18540</v>
      </c>
      <c r="S16" s="169">
        <v>22957</v>
      </c>
      <c r="T16" s="252">
        <f>'κατά φύλο, μήνα 2012,2013'!K19</f>
        <v>27093</v>
      </c>
      <c r="U16" s="225">
        <f t="shared" si="0"/>
        <v>0.1801629132726401</v>
      </c>
    </row>
    <row r="17" spans="1:21" ht="18" customHeight="1">
      <c r="A17" s="347" t="s">
        <v>32</v>
      </c>
      <c r="B17" s="165">
        <v>6416</v>
      </c>
      <c r="C17" s="158">
        <v>8908</v>
      </c>
      <c r="D17" s="158">
        <v>8589</v>
      </c>
      <c r="E17" s="158">
        <v>9186</v>
      </c>
      <c r="F17" s="158">
        <f>10259-1134</f>
        <v>9125</v>
      </c>
      <c r="G17" s="158">
        <v>9905</v>
      </c>
      <c r="H17" s="158">
        <v>12316</v>
      </c>
      <c r="I17" s="158">
        <v>10392</v>
      </c>
      <c r="J17" s="158">
        <v>10560</v>
      </c>
      <c r="K17" s="165">
        <v>10575</v>
      </c>
      <c r="L17" s="169">
        <v>13614</v>
      </c>
      <c r="M17" s="117">
        <v>12990</v>
      </c>
      <c r="N17" s="114">
        <v>12052</v>
      </c>
      <c r="O17" s="114">
        <v>11853</v>
      </c>
      <c r="P17" s="114">
        <v>19333</v>
      </c>
      <c r="Q17" s="114">
        <v>20238</v>
      </c>
      <c r="R17" s="114">
        <v>24943</v>
      </c>
      <c r="S17" s="169">
        <v>29393</v>
      </c>
      <c r="T17" s="252">
        <f>'κατά φύλο, μήνα 2012,2013'!K20</f>
        <v>32643</v>
      </c>
      <c r="U17" s="225">
        <f>(T17/S17)-1</f>
        <v>0.11057054400707655</v>
      </c>
    </row>
    <row r="18" spans="1:21" ht="18" customHeight="1" thickBot="1">
      <c r="A18" s="348" t="s">
        <v>33</v>
      </c>
      <c r="B18" s="468">
        <v>8226</v>
      </c>
      <c r="C18" s="469">
        <v>11214</v>
      </c>
      <c r="D18" s="469">
        <v>9915</v>
      </c>
      <c r="E18" s="469">
        <v>12477</v>
      </c>
      <c r="F18" s="469">
        <f>12981-1262</f>
        <v>11719</v>
      </c>
      <c r="G18" s="469">
        <v>13133</v>
      </c>
      <c r="H18" s="469">
        <f>16077-775</f>
        <v>15302</v>
      </c>
      <c r="I18" s="469">
        <v>13658</v>
      </c>
      <c r="J18" s="469">
        <v>13824</v>
      </c>
      <c r="K18" s="468">
        <v>14111</v>
      </c>
      <c r="L18" s="384">
        <v>16294</v>
      </c>
      <c r="M18" s="392">
        <v>15903</v>
      </c>
      <c r="N18" s="382">
        <v>15648</v>
      </c>
      <c r="O18" s="382">
        <v>15669</v>
      </c>
      <c r="P18" s="382">
        <v>22938</v>
      </c>
      <c r="Q18" s="382">
        <v>24154</v>
      </c>
      <c r="R18" s="383">
        <v>29034</v>
      </c>
      <c r="S18" s="384">
        <v>33374</v>
      </c>
      <c r="T18" s="252">
        <f>'κατά φύλο, μήνα 2012,2013'!K21</f>
        <v>36716</v>
      </c>
      <c r="U18" s="385">
        <f>T18/S18-1</f>
        <v>0.1001378318451489</v>
      </c>
    </row>
    <row r="19" spans="1:21" ht="39.75" customHeight="1" thickBot="1">
      <c r="A19" s="465" t="s">
        <v>47</v>
      </c>
      <c r="B19" s="470">
        <f aca="true" t="shared" si="3" ref="B19:L19">AVERAGE(B13:B18)</f>
        <v>6715.833333333333</v>
      </c>
      <c r="C19" s="470">
        <f t="shared" si="3"/>
        <v>8442.166666666666</v>
      </c>
      <c r="D19" s="470">
        <f t="shared" si="3"/>
        <v>8622.666666666666</v>
      </c>
      <c r="E19" s="470">
        <f t="shared" si="3"/>
        <v>9149</v>
      </c>
      <c r="F19" s="470">
        <f t="shared" si="3"/>
        <v>9540.5</v>
      </c>
      <c r="G19" s="470">
        <f t="shared" si="3"/>
        <v>10104.666666666666</v>
      </c>
      <c r="H19" s="470">
        <f t="shared" si="3"/>
        <v>11014.833333333334</v>
      </c>
      <c r="I19" s="470">
        <f t="shared" si="3"/>
        <v>9473.666666666666</v>
      </c>
      <c r="J19" s="470">
        <f t="shared" si="3"/>
        <v>9921.166666666666</v>
      </c>
      <c r="K19" s="470">
        <f t="shared" si="3"/>
        <v>10006.833333333334</v>
      </c>
      <c r="L19" s="475">
        <f t="shared" si="3"/>
        <v>12377.166666666666</v>
      </c>
      <c r="M19" s="274">
        <f aca="true" t="shared" si="4" ref="M19:S19">AVERAGE(M13:M18)</f>
        <v>12230.666666666666</v>
      </c>
      <c r="N19" s="259">
        <f t="shared" si="4"/>
        <v>11374</v>
      </c>
      <c r="O19" s="259">
        <f t="shared" si="4"/>
        <v>11010.166666666666</v>
      </c>
      <c r="P19" s="259">
        <f t="shared" si="4"/>
        <v>17352.166666666668</v>
      </c>
      <c r="Q19" s="259">
        <f t="shared" si="4"/>
        <v>18819.166666666668</v>
      </c>
      <c r="R19" s="259">
        <f t="shared" si="4"/>
        <v>22202.166666666668</v>
      </c>
      <c r="S19" s="259">
        <f t="shared" si="4"/>
        <v>26817</v>
      </c>
      <c r="T19" s="471">
        <f>AVERAGE(T13:T18)</f>
        <v>30979.166666666668</v>
      </c>
      <c r="U19" s="472">
        <f>T19/S19-1</f>
        <v>0.15520627462679149</v>
      </c>
    </row>
    <row r="20" spans="1:21" ht="27.75" customHeight="1" thickBot="1">
      <c r="A20" s="465" t="s">
        <v>50</v>
      </c>
      <c r="B20" s="167">
        <f aca="true" t="shared" si="5" ref="B20:L20">AVERAGE(B6:B11,B13:B18)</f>
        <v>6916.416666666667</v>
      </c>
      <c r="C20" s="167">
        <f t="shared" si="5"/>
        <v>8484.083333333334</v>
      </c>
      <c r="D20" s="167">
        <f t="shared" si="5"/>
        <v>9345.583333333334</v>
      </c>
      <c r="E20" s="167">
        <f t="shared" si="5"/>
        <v>9457.833333333334</v>
      </c>
      <c r="F20" s="167">
        <f t="shared" si="5"/>
        <v>10434.916666666666</v>
      </c>
      <c r="G20" s="167">
        <f t="shared" si="5"/>
        <v>10773</v>
      </c>
      <c r="H20" s="167">
        <f t="shared" si="5"/>
        <v>11154.083333333334</v>
      </c>
      <c r="I20" s="167">
        <f t="shared" si="5"/>
        <v>10063.25</v>
      </c>
      <c r="J20" s="167">
        <f t="shared" si="5"/>
        <v>11086.09090909091</v>
      </c>
      <c r="K20" s="167">
        <f t="shared" si="5"/>
        <v>10799.416666666666</v>
      </c>
      <c r="L20" s="506">
        <f t="shared" si="5"/>
        <v>13287.333333333334</v>
      </c>
      <c r="M20" s="507">
        <f aca="true" t="shared" si="6" ref="M20:S20">AVERAGE(M6:M11,M13:M18)</f>
        <v>13374.583333333334</v>
      </c>
      <c r="N20" s="473">
        <f t="shared" si="6"/>
        <v>12553</v>
      </c>
      <c r="O20" s="473">
        <f t="shared" si="6"/>
        <v>11779.166666666666</v>
      </c>
      <c r="P20" s="473">
        <f t="shared" si="6"/>
        <v>16851.083333333332</v>
      </c>
      <c r="Q20" s="473">
        <f t="shared" si="6"/>
        <v>19980.583333333332</v>
      </c>
      <c r="R20" s="473">
        <f t="shared" si="6"/>
        <v>22569.083333333332</v>
      </c>
      <c r="S20" s="473">
        <f t="shared" si="6"/>
        <v>27814.416666666668</v>
      </c>
      <c r="T20" s="474">
        <f>AVERAGE(T12,T19)</f>
        <v>31828.666666666668</v>
      </c>
      <c r="U20" s="472">
        <f>T20/S20-1</f>
        <v>0.14432263843989768</v>
      </c>
    </row>
    <row r="21" ht="12.75">
      <c r="A21" s="3"/>
    </row>
    <row r="22" ht="14.25" customHeight="1">
      <c r="A22" s="103"/>
    </row>
    <row r="23" spans="1:17" ht="24" customHeight="1">
      <c r="A23" s="118"/>
      <c r="B23" s="118"/>
      <c r="C23" s="118"/>
      <c r="D23" s="118"/>
      <c r="E23" s="118"/>
      <c r="F23" s="118"/>
      <c r="G23" s="118"/>
      <c r="H23" s="118"/>
      <c r="I23" s="118"/>
      <c r="J23" s="118"/>
      <c r="K23" s="118"/>
      <c r="L23" s="118"/>
      <c r="M23" s="118"/>
      <c r="N23" s="118"/>
      <c r="O23" s="118"/>
      <c r="P23" s="118"/>
      <c r="Q23" s="118"/>
    </row>
    <row r="24" spans="1:15" ht="15" customHeight="1">
      <c r="A24" s="103"/>
      <c r="B24" s="102"/>
      <c r="C24" s="102"/>
      <c r="D24" s="102"/>
      <c r="E24" s="102"/>
      <c r="F24" s="102"/>
      <c r="G24" s="102"/>
      <c r="H24" s="102"/>
      <c r="I24" s="102"/>
      <c r="J24" s="102"/>
      <c r="K24" s="102"/>
      <c r="L24" s="102"/>
      <c r="M24" s="102"/>
      <c r="N24" s="102"/>
      <c r="O24" s="102"/>
    </row>
    <row r="25" spans="1:7" ht="17.25" customHeight="1">
      <c r="A25" s="104"/>
      <c r="B25" s="9"/>
      <c r="C25" s="9"/>
      <c r="D25" s="9"/>
      <c r="E25" s="9"/>
      <c r="F25" s="9"/>
      <c r="G25" s="9"/>
    </row>
    <row r="26" spans="1:15" ht="24.75" customHeight="1">
      <c r="A26" s="105"/>
      <c r="B26" s="105"/>
      <c r="C26" s="105"/>
      <c r="D26" s="105"/>
      <c r="E26" s="105"/>
      <c r="F26" s="105"/>
      <c r="G26" s="105"/>
      <c r="H26" s="105"/>
      <c r="I26" s="105"/>
      <c r="J26" s="105"/>
      <c r="K26" s="105"/>
      <c r="L26" s="105"/>
      <c r="M26" s="105"/>
      <c r="N26" s="105"/>
      <c r="O26" s="105"/>
    </row>
    <row r="27" spans="1:15" ht="17.25" customHeight="1">
      <c r="A27" s="103"/>
      <c r="B27" s="9"/>
      <c r="C27" s="9"/>
      <c r="D27" s="9"/>
      <c r="E27" s="9"/>
      <c r="F27" s="9"/>
      <c r="G27" s="9"/>
      <c r="K27" s="46"/>
      <c r="L27" s="46"/>
      <c r="M27" s="46"/>
      <c r="N27" s="46"/>
      <c r="O27" s="45"/>
    </row>
    <row r="30" spans="15:16" ht="12.75">
      <c r="O30" s="46"/>
      <c r="P30" s="46"/>
    </row>
    <row r="31" spans="15:16" ht="12.75">
      <c r="O31" s="46"/>
      <c r="P31" s="46"/>
    </row>
    <row r="33" ht="14.25">
      <c r="A33" s="10"/>
    </row>
    <row r="34" ht="14.25">
      <c r="A34" s="38"/>
    </row>
    <row r="35" spans="16:19" ht="12.75">
      <c r="P35" s="46"/>
      <c r="Q35" s="46"/>
      <c r="R35" s="46"/>
      <c r="S35" s="46"/>
    </row>
    <row r="36" spans="16:19" ht="12.75">
      <c r="P36" s="46"/>
      <c r="Q36" s="46"/>
      <c r="R36" s="46"/>
      <c r="S36" s="46"/>
    </row>
    <row r="39" spans="14:15" ht="12.75">
      <c r="N39" s="46"/>
      <c r="O39" s="46"/>
    </row>
    <row r="40" spans="1:15" ht="12.75">
      <c r="A40" s="101"/>
      <c r="N40" s="46"/>
      <c r="O40" s="46"/>
    </row>
    <row r="43" spans="1:21" ht="12.75">
      <c r="A43" s="101"/>
      <c r="R43" s="75"/>
      <c r="S43" s="545" t="s">
        <v>15</v>
      </c>
      <c r="T43" s="545"/>
      <c r="U43" s="97"/>
    </row>
    <row r="44" spans="1:21" ht="14.25">
      <c r="A44" s="38"/>
      <c r="Q44" s="46"/>
      <c r="R44" s="545" t="s">
        <v>14</v>
      </c>
      <c r="S44" s="545"/>
      <c r="T44" s="545"/>
      <c r="U44" s="545"/>
    </row>
    <row r="45" spans="1:19" ht="12.75">
      <c r="A45" s="76">
        <f>'κατά φύλο, μήνα 2012,2013'!A29</f>
        <v>41687</v>
      </c>
      <c r="O45" s="75"/>
      <c r="P45" s="97"/>
      <c r="Q45" s="97"/>
      <c r="R45" s="97"/>
      <c r="S45" s="97"/>
    </row>
    <row r="46" spans="1:19" ht="12.75">
      <c r="A46" s="101"/>
      <c r="O46" s="97"/>
      <c r="P46" s="97"/>
      <c r="Q46" s="97"/>
      <c r="R46" s="97"/>
      <c r="S46" s="95"/>
    </row>
  </sheetData>
  <sheetProtection/>
  <mergeCells count="4">
    <mergeCell ref="R44:U44"/>
    <mergeCell ref="F4:Q4"/>
    <mergeCell ref="A3:U3"/>
    <mergeCell ref="S43:T43"/>
  </mergeCells>
  <printOptions/>
  <pageMargins left="0" right="0" top="0.984251968503937" bottom="0.787401574803149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X28"/>
  <sheetViews>
    <sheetView zoomScalePageLayoutView="0" workbookViewId="0" topLeftCell="N1">
      <selection activeCell="A29" sqref="A29"/>
    </sheetView>
  </sheetViews>
  <sheetFormatPr defaultColWidth="9.140625" defaultRowHeight="12.75"/>
  <cols>
    <col min="1" max="1" width="14.57421875" style="0" customWidth="1"/>
    <col min="2" max="2" width="13.7109375" style="0" hidden="1" customWidth="1"/>
    <col min="3" max="3" width="10.7109375" style="0" hidden="1" customWidth="1"/>
    <col min="4" max="4" width="11.421875" style="0" hidden="1" customWidth="1"/>
    <col min="5" max="5" width="14.421875" style="0" hidden="1" customWidth="1"/>
    <col min="6" max="6" width="10.7109375" style="0" hidden="1" customWidth="1"/>
    <col min="7" max="7" width="12.00390625" style="0" hidden="1" customWidth="1"/>
    <col min="8" max="8" width="10.28125" style="0" hidden="1" customWidth="1"/>
    <col min="9" max="9" width="10.7109375" style="0" hidden="1" customWidth="1"/>
    <col min="10" max="10" width="12.8515625" style="0" hidden="1" customWidth="1"/>
    <col min="11" max="11" width="10.7109375" style="0" hidden="1" customWidth="1"/>
    <col min="12" max="12" width="10.140625" style="0" hidden="1" customWidth="1"/>
    <col min="13" max="13" width="12.140625" style="0" customWidth="1"/>
    <col min="14" max="14" width="10.00390625" style="0" customWidth="1"/>
    <col min="15" max="15" width="10.7109375" style="0" customWidth="1"/>
    <col min="16" max="16" width="12.7109375" style="0" customWidth="1"/>
    <col min="17" max="17" width="9.421875" style="0" customWidth="1"/>
    <col min="18" max="18" width="11.00390625" style="0" customWidth="1"/>
    <col min="19" max="19" width="12.421875" style="0" customWidth="1"/>
    <col min="21" max="21" width="9.57421875" style="0" customWidth="1"/>
    <col min="22" max="22" width="13.00390625" style="0" customWidth="1"/>
    <col min="23" max="23" width="9.421875" style="0" customWidth="1"/>
    <col min="24" max="24" width="11.00390625" style="0" customWidth="1"/>
  </cols>
  <sheetData>
    <row r="1" ht="12.75">
      <c r="A1" s="287" t="s">
        <v>117</v>
      </c>
    </row>
    <row r="2" spans="1:23" ht="27.75" customHeight="1">
      <c r="A2" s="120"/>
      <c r="B2" s="547" t="s">
        <v>122</v>
      </c>
      <c r="C2" s="547"/>
      <c r="D2" s="547"/>
      <c r="E2" s="547"/>
      <c r="F2" s="547"/>
      <c r="G2" s="547"/>
      <c r="H2" s="547"/>
      <c r="I2" s="547"/>
      <c r="J2" s="547"/>
      <c r="K2" s="547"/>
      <c r="L2" s="547"/>
      <c r="M2" s="547"/>
      <c r="N2" s="547"/>
      <c r="O2" s="547"/>
      <c r="P2" s="547"/>
      <c r="Q2" s="547"/>
      <c r="R2" s="547"/>
      <c r="S2" s="547"/>
      <c r="T2" s="547"/>
      <c r="U2" s="547"/>
      <c r="V2" s="547"/>
      <c r="W2" s="547"/>
    </row>
    <row r="3" spans="1:7" ht="13.5" thickBot="1">
      <c r="A3" s="548"/>
      <c r="B3" s="548"/>
      <c r="C3" s="4"/>
      <c r="D3" s="4"/>
      <c r="E3" s="4"/>
      <c r="F3" s="4"/>
      <c r="G3" s="4"/>
    </row>
    <row r="4" spans="1:24" ht="19.5" customHeight="1">
      <c r="A4" s="278"/>
      <c r="B4" s="551">
        <v>2010</v>
      </c>
      <c r="C4" s="551"/>
      <c r="D4" s="551"/>
      <c r="E4" s="551"/>
      <c r="F4" s="552"/>
      <c r="G4" s="553">
        <v>2011</v>
      </c>
      <c r="H4" s="551"/>
      <c r="I4" s="551"/>
      <c r="J4" s="551"/>
      <c r="K4" s="552"/>
      <c r="L4" s="549" t="s">
        <v>64</v>
      </c>
      <c r="M4" s="554">
        <v>2012</v>
      </c>
      <c r="N4" s="551"/>
      <c r="O4" s="551"/>
      <c r="P4" s="551"/>
      <c r="Q4" s="552"/>
      <c r="R4" s="555" t="s">
        <v>98</v>
      </c>
      <c r="S4" s="554">
        <v>2013</v>
      </c>
      <c r="T4" s="551"/>
      <c r="U4" s="551"/>
      <c r="V4" s="551"/>
      <c r="W4" s="551"/>
      <c r="X4" s="549" t="s">
        <v>120</v>
      </c>
    </row>
    <row r="5" spans="1:24" ht="37.5" customHeight="1" thickBot="1">
      <c r="A5" s="335" t="s">
        <v>0</v>
      </c>
      <c r="B5" s="336" t="s">
        <v>41</v>
      </c>
      <c r="C5" s="337" t="s">
        <v>42</v>
      </c>
      <c r="D5" s="337" t="s">
        <v>45</v>
      </c>
      <c r="E5" s="338" t="s">
        <v>43</v>
      </c>
      <c r="F5" s="339" t="s">
        <v>44</v>
      </c>
      <c r="G5" s="340" t="s">
        <v>41</v>
      </c>
      <c r="H5" s="337" t="s">
        <v>42</v>
      </c>
      <c r="I5" s="337" t="s">
        <v>45</v>
      </c>
      <c r="J5" s="338" t="s">
        <v>43</v>
      </c>
      <c r="K5" s="337" t="s">
        <v>44</v>
      </c>
      <c r="L5" s="550"/>
      <c r="M5" s="341" t="s">
        <v>41</v>
      </c>
      <c r="N5" s="337" t="s">
        <v>42</v>
      </c>
      <c r="O5" s="337" t="s">
        <v>45</v>
      </c>
      <c r="P5" s="338" t="s">
        <v>43</v>
      </c>
      <c r="Q5" s="337" t="s">
        <v>44</v>
      </c>
      <c r="R5" s="556"/>
      <c r="S5" s="341" t="s">
        <v>41</v>
      </c>
      <c r="T5" s="337" t="s">
        <v>42</v>
      </c>
      <c r="U5" s="337" t="s">
        <v>45</v>
      </c>
      <c r="V5" s="338" t="s">
        <v>43</v>
      </c>
      <c r="W5" s="339" t="s">
        <v>44</v>
      </c>
      <c r="X5" s="550"/>
    </row>
    <row r="6" spans="1:24" ht="18" customHeight="1">
      <c r="A6" s="279" t="s">
        <v>23</v>
      </c>
      <c r="B6" s="330">
        <f>44+14709+37</f>
        <v>14790</v>
      </c>
      <c r="C6" s="331">
        <v>3443</v>
      </c>
      <c r="D6" s="331">
        <v>1510</v>
      </c>
      <c r="E6" s="331">
        <v>277</v>
      </c>
      <c r="F6" s="332">
        <f aca="true" t="shared" si="0" ref="F6:F11">B6+C6+D6+E6</f>
        <v>20020</v>
      </c>
      <c r="G6" s="331">
        <v>14225</v>
      </c>
      <c r="H6" s="331">
        <v>4452</v>
      </c>
      <c r="I6" s="331">
        <v>1451</v>
      </c>
      <c r="J6" s="331">
        <v>223</v>
      </c>
      <c r="K6" s="331">
        <f>G6+H6+I6+J6</f>
        <v>20351</v>
      </c>
      <c r="L6" s="333">
        <f>(K6/F6)-1</f>
        <v>0.016533466533466434</v>
      </c>
      <c r="M6" s="334">
        <v>17446</v>
      </c>
      <c r="N6" s="331">
        <v>6202</v>
      </c>
      <c r="O6" s="331">
        <v>669</v>
      </c>
      <c r="P6" s="331">
        <v>254</v>
      </c>
      <c r="Q6" s="331">
        <f aca="true" t="shared" si="1" ref="Q6:Q18">M6+N6+O6+P6</f>
        <v>24571</v>
      </c>
      <c r="R6" s="333">
        <f aca="true" t="shared" si="2" ref="R6:R20">(Q6/K6)-1</f>
        <v>0.2073608176502384</v>
      </c>
      <c r="S6" s="117">
        <v>18691</v>
      </c>
      <c r="T6" s="114">
        <v>6962</v>
      </c>
      <c r="U6" s="114">
        <v>734</v>
      </c>
      <c r="V6" s="114">
        <v>233</v>
      </c>
      <c r="W6" s="332">
        <f aca="true" t="shared" si="3" ref="W6:W16">S6+T6+U6+V6</f>
        <v>26620</v>
      </c>
      <c r="X6" s="333">
        <f aca="true" t="shared" si="4" ref="X6:X16">(W6/Q6)-1</f>
        <v>0.0833909893777216</v>
      </c>
    </row>
    <row r="7" spans="1:24" ht="18" customHeight="1">
      <c r="A7" s="280" t="s">
        <v>24</v>
      </c>
      <c r="B7" s="275">
        <f>45+13246+30</f>
        <v>13321</v>
      </c>
      <c r="C7" s="114">
        <v>3534</v>
      </c>
      <c r="D7" s="114">
        <v>1540</v>
      </c>
      <c r="E7" s="114">
        <v>258</v>
      </c>
      <c r="F7" s="169">
        <f t="shared" si="0"/>
        <v>18653</v>
      </c>
      <c r="G7" s="114">
        <v>13628</v>
      </c>
      <c r="H7" s="114">
        <v>4510</v>
      </c>
      <c r="I7" s="114">
        <v>1475</v>
      </c>
      <c r="J7" s="114">
        <v>222</v>
      </c>
      <c r="K7" s="114">
        <f aca="true" t="shared" si="5" ref="K7:K18">G7+H7+I7+J7</f>
        <v>19835</v>
      </c>
      <c r="L7" s="256">
        <f aca="true" t="shared" si="6" ref="L7:L20">(K7/F7)-1</f>
        <v>0.06336782287031584</v>
      </c>
      <c r="M7" s="117">
        <v>16730</v>
      </c>
      <c r="N7" s="114">
        <v>6355</v>
      </c>
      <c r="O7" s="114">
        <v>682</v>
      </c>
      <c r="P7" s="114">
        <v>232</v>
      </c>
      <c r="Q7" s="114">
        <f t="shared" si="1"/>
        <v>23999</v>
      </c>
      <c r="R7" s="256">
        <f t="shared" si="2"/>
        <v>0.20993193849256375</v>
      </c>
      <c r="S7" s="117">
        <v>18006</v>
      </c>
      <c r="T7" s="114">
        <v>7062</v>
      </c>
      <c r="U7" s="114">
        <v>749</v>
      </c>
      <c r="V7" s="114">
        <v>212</v>
      </c>
      <c r="W7" s="169">
        <f t="shared" si="3"/>
        <v>26029</v>
      </c>
      <c r="X7" s="256">
        <f t="shared" si="4"/>
        <v>0.08458685778574115</v>
      </c>
    </row>
    <row r="8" spans="1:24" ht="18" customHeight="1">
      <c r="A8" s="280" t="s">
        <v>25</v>
      </c>
      <c r="B8" s="275">
        <f>43+12995+32</f>
        <v>13070</v>
      </c>
      <c r="C8" s="114">
        <v>3352</v>
      </c>
      <c r="D8" s="114">
        <v>1436</v>
      </c>
      <c r="E8" s="114">
        <v>260</v>
      </c>
      <c r="F8" s="169">
        <f t="shared" si="0"/>
        <v>18118</v>
      </c>
      <c r="G8" s="114">
        <v>12896</v>
      </c>
      <c r="H8" s="114">
        <v>4268</v>
      </c>
      <c r="I8" s="114">
        <v>1420</v>
      </c>
      <c r="J8" s="114">
        <v>211</v>
      </c>
      <c r="K8" s="114">
        <f t="shared" si="5"/>
        <v>18795</v>
      </c>
      <c r="L8" s="256">
        <f t="shared" si="6"/>
        <v>0.037366155204768825</v>
      </c>
      <c r="M8" s="117">
        <v>16306</v>
      </c>
      <c r="N8" s="114">
        <v>6145</v>
      </c>
      <c r="O8" s="114">
        <v>666</v>
      </c>
      <c r="P8" s="114">
        <v>248</v>
      </c>
      <c r="Q8" s="114">
        <f t="shared" si="1"/>
        <v>23365</v>
      </c>
      <c r="R8" s="256">
        <f t="shared" si="2"/>
        <v>0.24314977387603087</v>
      </c>
      <c r="S8" s="117">
        <v>17870</v>
      </c>
      <c r="T8" s="114">
        <v>6690</v>
      </c>
      <c r="U8" s="114">
        <v>698</v>
      </c>
      <c r="V8" s="114">
        <v>205</v>
      </c>
      <c r="W8" s="169">
        <f t="shared" si="3"/>
        <v>25463</v>
      </c>
      <c r="X8" s="256">
        <f t="shared" si="4"/>
        <v>0.08979242456665948</v>
      </c>
    </row>
    <row r="9" spans="1:24" ht="18" customHeight="1">
      <c r="A9" s="280" t="s">
        <v>26</v>
      </c>
      <c r="B9" s="275">
        <f>31+9163+29</f>
        <v>9223</v>
      </c>
      <c r="C9" s="114">
        <v>2511</v>
      </c>
      <c r="D9" s="114">
        <v>1109</v>
      </c>
      <c r="E9" s="114">
        <v>242</v>
      </c>
      <c r="F9" s="169">
        <f t="shared" si="0"/>
        <v>13085</v>
      </c>
      <c r="G9" s="114">
        <v>10096</v>
      </c>
      <c r="H9" s="114">
        <v>3293</v>
      </c>
      <c r="I9" s="114">
        <v>1107</v>
      </c>
      <c r="J9" s="114">
        <v>197</v>
      </c>
      <c r="K9" s="114">
        <f t="shared" si="5"/>
        <v>14693</v>
      </c>
      <c r="L9" s="256">
        <f t="shared" si="6"/>
        <v>0.12288880397401614</v>
      </c>
      <c r="M9" s="117">
        <v>14506</v>
      </c>
      <c r="N9" s="114">
        <v>5269</v>
      </c>
      <c r="O9" s="114">
        <v>564</v>
      </c>
      <c r="P9" s="114">
        <v>235</v>
      </c>
      <c r="Q9" s="114">
        <f t="shared" si="1"/>
        <v>20574</v>
      </c>
      <c r="R9" s="256">
        <f t="shared" si="2"/>
        <v>0.40025862655686373</v>
      </c>
      <c r="S9" s="117">
        <v>15732</v>
      </c>
      <c r="T9" s="114">
        <v>5694</v>
      </c>
      <c r="U9" s="114">
        <v>603</v>
      </c>
      <c r="V9" s="114">
        <v>203</v>
      </c>
      <c r="W9" s="169">
        <f t="shared" si="3"/>
        <v>22232</v>
      </c>
      <c r="X9" s="256">
        <f t="shared" si="4"/>
        <v>0.08058714882861873</v>
      </c>
    </row>
    <row r="10" spans="1:24" ht="18" customHeight="1">
      <c r="A10" s="280" t="s">
        <v>27</v>
      </c>
      <c r="B10" s="275">
        <f>29+7523+32</f>
        <v>7584</v>
      </c>
      <c r="C10" s="114">
        <v>2003</v>
      </c>
      <c r="D10" s="114">
        <v>942</v>
      </c>
      <c r="E10" s="114">
        <v>211</v>
      </c>
      <c r="F10" s="169">
        <f t="shared" si="0"/>
        <v>10740</v>
      </c>
      <c r="G10" s="114">
        <v>8441</v>
      </c>
      <c r="H10" s="114">
        <v>2526</v>
      </c>
      <c r="I10" s="114">
        <v>953</v>
      </c>
      <c r="J10" s="114">
        <v>189</v>
      </c>
      <c r="K10" s="114">
        <f t="shared" si="5"/>
        <v>12109</v>
      </c>
      <c r="L10" s="256">
        <f t="shared" si="6"/>
        <v>0.1274674115456238</v>
      </c>
      <c r="M10" s="117">
        <v>11333</v>
      </c>
      <c r="N10" s="114">
        <v>3837</v>
      </c>
      <c r="O10" s="114">
        <v>441</v>
      </c>
      <c r="P10" s="114">
        <v>230</v>
      </c>
      <c r="Q10" s="114">
        <f t="shared" si="1"/>
        <v>15841</v>
      </c>
      <c r="R10" s="256">
        <f t="shared" si="2"/>
        <v>0.30820051201585597</v>
      </c>
      <c r="S10" s="117">
        <v>13979</v>
      </c>
      <c r="T10" s="114">
        <v>4156</v>
      </c>
      <c r="U10" s="114">
        <v>499</v>
      </c>
      <c r="V10" s="114">
        <v>199</v>
      </c>
      <c r="W10" s="169">
        <f t="shared" si="3"/>
        <v>18833</v>
      </c>
      <c r="X10" s="256">
        <f t="shared" si="4"/>
        <v>0.18887696483807837</v>
      </c>
    </row>
    <row r="11" spans="1:24" ht="18" customHeight="1" thickBot="1">
      <c r="A11" s="342" t="s">
        <v>28</v>
      </c>
      <c r="B11" s="275">
        <f>26+8150+33</f>
        <v>8209</v>
      </c>
      <c r="C11" s="114">
        <v>1838</v>
      </c>
      <c r="D11" s="114">
        <v>869</v>
      </c>
      <c r="E11" s="114">
        <v>188</v>
      </c>
      <c r="F11" s="169">
        <f t="shared" si="0"/>
        <v>11104</v>
      </c>
      <c r="G11" s="114">
        <v>9388</v>
      </c>
      <c r="H11" s="114">
        <v>2158</v>
      </c>
      <c r="I11" s="114">
        <v>982</v>
      </c>
      <c r="J11" s="114">
        <v>191</v>
      </c>
      <c r="K11" s="114">
        <f t="shared" si="5"/>
        <v>12719</v>
      </c>
      <c r="L11" s="256">
        <f t="shared" si="6"/>
        <v>0.145443083573487</v>
      </c>
      <c r="M11" s="392">
        <v>11649</v>
      </c>
      <c r="N11" s="382">
        <v>3218</v>
      </c>
      <c r="O11" s="382">
        <v>403</v>
      </c>
      <c r="P11" s="382">
        <v>218</v>
      </c>
      <c r="Q11" s="382">
        <f t="shared" si="1"/>
        <v>15488</v>
      </c>
      <c r="R11" s="258">
        <f t="shared" si="2"/>
        <v>0.21770579448069816</v>
      </c>
      <c r="S11" s="392">
        <v>14801</v>
      </c>
      <c r="T11" s="382">
        <v>3516</v>
      </c>
      <c r="U11" s="382">
        <v>443</v>
      </c>
      <c r="V11" s="382">
        <v>196</v>
      </c>
      <c r="W11" s="384">
        <f t="shared" si="3"/>
        <v>18956</v>
      </c>
      <c r="X11" s="258">
        <f t="shared" si="4"/>
        <v>0.2239152892561984</v>
      </c>
    </row>
    <row r="12" spans="1:24" ht="39" customHeight="1" thickBot="1">
      <c r="A12" s="281" t="s">
        <v>146</v>
      </c>
      <c r="B12" s="276">
        <f aca="true" t="shared" si="7" ref="B12:J12">AVERAGE(B6:B11)</f>
        <v>11032.833333333334</v>
      </c>
      <c r="C12" s="116">
        <f t="shared" si="7"/>
        <v>2780.1666666666665</v>
      </c>
      <c r="D12" s="116">
        <f t="shared" si="7"/>
        <v>1234.3333333333333</v>
      </c>
      <c r="E12" s="116">
        <f t="shared" si="7"/>
        <v>239.33333333333334</v>
      </c>
      <c r="F12" s="170">
        <f t="shared" si="7"/>
        <v>15286.666666666666</v>
      </c>
      <c r="G12" s="116">
        <f t="shared" si="7"/>
        <v>11445.666666666666</v>
      </c>
      <c r="H12" s="116">
        <f t="shared" si="7"/>
        <v>3534.5</v>
      </c>
      <c r="I12" s="116">
        <f t="shared" si="7"/>
        <v>1231.3333333333333</v>
      </c>
      <c r="J12" s="116">
        <f t="shared" si="7"/>
        <v>205.5</v>
      </c>
      <c r="K12" s="116">
        <f>AVERAGE(K6:K11)</f>
        <v>16417</v>
      </c>
      <c r="L12" s="257">
        <f t="shared" si="6"/>
        <v>0.07394243349324037</v>
      </c>
      <c r="M12" s="274">
        <f>AVERAGE(M6:M11)</f>
        <v>14661.666666666666</v>
      </c>
      <c r="N12" s="259">
        <f>AVERAGE(N6:N11)</f>
        <v>5171</v>
      </c>
      <c r="O12" s="259">
        <f>AVERAGE(O6:O11)</f>
        <v>570.8333333333334</v>
      </c>
      <c r="P12" s="259">
        <f>AVERAGE(P6:P11)</f>
        <v>236.16666666666666</v>
      </c>
      <c r="Q12" s="259">
        <f>AVERAGE(Q6:Q11)</f>
        <v>20639.666666666668</v>
      </c>
      <c r="R12" s="393">
        <f t="shared" si="2"/>
        <v>0.2572130515116444</v>
      </c>
      <c r="S12" s="259">
        <f>AVERAGE(S6:S11)</f>
        <v>16513.166666666668</v>
      </c>
      <c r="T12" s="259">
        <f>AVERAGE(T6:T11)</f>
        <v>5680</v>
      </c>
      <c r="U12" s="259">
        <f>AVERAGE(U6:U11)</f>
        <v>621</v>
      </c>
      <c r="V12" s="259">
        <f>AVERAGE(V6:V11)</f>
        <v>208</v>
      </c>
      <c r="W12" s="475">
        <f>AVERAGE(W6:W11)</f>
        <v>23022.166666666668</v>
      </c>
      <c r="X12" s="393">
        <f t="shared" si="4"/>
        <v>0.1154330657794862</v>
      </c>
    </row>
    <row r="13" spans="1:24" ht="18" customHeight="1">
      <c r="A13" s="279" t="s">
        <v>29</v>
      </c>
      <c r="B13" s="275">
        <f>25+9671+40</f>
        <v>9736</v>
      </c>
      <c r="C13" s="114">
        <v>1885</v>
      </c>
      <c r="D13" s="114">
        <v>934</v>
      </c>
      <c r="E13" s="114">
        <v>194</v>
      </c>
      <c r="F13" s="169">
        <f aca="true" t="shared" si="8" ref="F13:F18">B13+C13+D13+E13</f>
        <v>12749</v>
      </c>
      <c r="G13" s="114">
        <v>11219</v>
      </c>
      <c r="H13" s="114">
        <v>2316</v>
      </c>
      <c r="I13" s="114">
        <v>1018</v>
      </c>
      <c r="J13" s="114">
        <v>206</v>
      </c>
      <c r="K13" s="114">
        <f t="shared" si="5"/>
        <v>14759</v>
      </c>
      <c r="L13" s="256">
        <f t="shared" si="6"/>
        <v>0.15765942426857005</v>
      </c>
      <c r="M13" s="334">
        <v>13594</v>
      </c>
      <c r="N13" s="331">
        <v>3323</v>
      </c>
      <c r="O13" s="331">
        <v>424</v>
      </c>
      <c r="P13" s="331">
        <v>218</v>
      </c>
      <c r="Q13" s="331">
        <f t="shared" si="1"/>
        <v>17559</v>
      </c>
      <c r="R13" s="333">
        <f t="shared" si="2"/>
        <v>0.1897147503218375</v>
      </c>
      <c r="S13" s="334">
        <v>15947</v>
      </c>
      <c r="T13" s="331">
        <v>3494</v>
      </c>
      <c r="U13" s="331">
        <v>405</v>
      </c>
      <c r="V13" s="331">
        <v>180</v>
      </c>
      <c r="W13" s="332">
        <f t="shared" si="3"/>
        <v>20026</v>
      </c>
      <c r="X13" s="333">
        <f t="shared" si="4"/>
        <v>0.14049775044136914</v>
      </c>
    </row>
    <row r="14" spans="1:24" ht="18" customHeight="1">
      <c r="A14" s="280" t="s">
        <v>7</v>
      </c>
      <c r="B14" s="275">
        <f>25+9478+31</f>
        <v>9534</v>
      </c>
      <c r="C14" s="114">
        <v>1732</v>
      </c>
      <c r="D14" s="114">
        <v>878</v>
      </c>
      <c r="E14" s="114">
        <v>176</v>
      </c>
      <c r="F14" s="169">
        <f t="shared" si="8"/>
        <v>12320</v>
      </c>
      <c r="G14" s="114">
        <v>11140</v>
      </c>
      <c r="H14" s="114">
        <v>2110</v>
      </c>
      <c r="I14" s="114">
        <v>942</v>
      </c>
      <c r="J14" s="114">
        <v>164</v>
      </c>
      <c r="K14" s="114">
        <f t="shared" si="5"/>
        <v>14356</v>
      </c>
      <c r="L14" s="256">
        <f t="shared" si="6"/>
        <v>0.16525974025974022</v>
      </c>
      <c r="M14" s="117">
        <v>13045</v>
      </c>
      <c r="N14" s="114">
        <v>2981</v>
      </c>
      <c r="O14" s="114">
        <v>375</v>
      </c>
      <c r="P14" s="114">
        <v>205</v>
      </c>
      <c r="Q14" s="114">
        <f t="shared" si="1"/>
        <v>16606</v>
      </c>
      <c r="R14" s="256">
        <f t="shared" si="2"/>
        <v>0.15672889384229594</v>
      </c>
      <c r="S14" s="117">
        <v>15595</v>
      </c>
      <c r="T14" s="114">
        <v>3173</v>
      </c>
      <c r="U14" s="114">
        <v>403</v>
      </c>
      <c r="V14" s="114">
        <v>159</v>
      </c>
      <c r="W14" s="169">
        <f t="shared" si="3"/>
        <v>19330</v>
      </c>
      <c r="X14" s="256">
        <f t="shared" si="4"/>
        <v>0.16403709502589425</v>
      </c>
    </row>
    <row r="15" spans="1:24" ht="18" customHeight="1">
      <c r="A15" s="280" t="s">
        <v>30</v>
      </c>
      <c r="B15" s="275">
        <f>31+8436+40</f>
        <v>8507</v>
      </c>
      <c r="C15" s="114">
        <v>1741</v>
      </c>
      <c r="D15" s="114">
        <v>889</v>
      </c>
      <c r="E15" s="114">
        <v>186</v>
      </c>
      <c r="F15" s="169">
        <f t="shared" si="8"/>
        <v>11323</v>
      </c>
      <c r="G15" s="114">
        <v>10381</v>
      </c>
      <c r="H15" s="114">
        <v>2228</v>
      </c>
      <c r="I15" s="114">
        <v>985</v>
      </c>
      <c r="J15" s="114">
        <v>186</v>
      </c>
      <c r="K15" s="114">
        <f t="shared" si="5"/>
        <v>13780</v>
      </c>
      <c r="L15" s="256">
        <f t="shared" si="6"/>
        <v>0.21699196326061987</v>
      </c>
      <c r="M15" s="117">
        <v>12640</v>
      </c>
      <c r="N15" s="114">
        <v>3155</v>
      </c>
      <c r="O15" s="114">
        <v>389</v>
      </c>
      <c r="P15" s="114">
        <v>210</v>
      </c>
      <c r="Q15" s="114">
        <f t="shared" si="1"/>
        <v>16394</v>
      </c>
      <c r="R15" s="256">
        <f t="shared" si="2"/>
        <v>0.18969521044992743</v>
      </c>
      <c r="S15" s="117">
        <v>15884</v>
      </c>
      <c r="T15" s="114">
        <v>3158</v>
      </c>
      <c r="U15" s="114">
        <v>414</v>
      </c>
      <c r="V15" s="114">
        <v>156</v>
      </c>
      <c r="W15" s="169">
        <f t="shared" si="3"/>
        <v>19612</v>
      </c>
      <c r="X15" s="256">
        <f t="shared" si="4"/>
        <v>0.19629132609491284</v>
      </c>
    </row>
    <row r="16" spans="1:24" ht="18" customHeight="1">
      <c r="A16" s="280" t="s">
        <v>31</v>
      </c>
      <c r="B16" s="275">
        <f>33+6863+39</f>
        <v>6935</v>
      </c>
      <c r="C16" s="114">
        <v>1819</v>
      </c>
      <c r="D16" s="114">
        <v>856</v>
      </c>
      <c r="E16" s="114">
        <v>192</v>
      </c>
      <c r="F16" s="169">
        <f t="shared" si="8"/>
        <v>9802</v>
      </c>
      <c r="G16" s="114">
        <v>8721</v>
      </c>
      <c r="H16" s="114">
        <v>2360</v>
      </c>
      <c r="I16" s="114">
        <v>993</v>
      </c>
      <c r="J16" s="114">
        <v>185</v>
      </c>
      <c r="K16" s="114">
        <f t="shared" si="5"/>
        <v>12259</v>
      </c>
      <c r="L16" s="256">
        <f t="shared" si="6"/>
        <v>0.25066312997347473</v>
      </c>
      <c r="M16" s="117">
        <v>10491</v>
      </c>
      <c r="N16" s="114">
        <v>3291</v>
      </c>
      <c r="O16" s="114">
        <v>392</v>
      </c>
      <c r="P16" s="114">
        <v>194</v>
      </c>
      <c r="Q16" s="114">
        <f t="shared" si="1"/>
        <v>14368</v>
      </c>
      <c r="R16" s="256">
        <f t="shared" si="2"/>
        <v>0.172036870870381</v>
      </c>
      <c r="S16" s="117">
        <v>13213</v>
      </c>
      <c r="T16" s="114">
        <v>2968</v>
      </c>
      <c r="U16" s="114">
        <v>397</v>
      </c>
      <c r="V16" s="114">
        <v>148</v>
      </c>
      <c r="W16" s="169">
        <f t="shared" si="3"/>
        <v>16726</v>
      </c>
      <c r="X16" s="256">
        <f t="shared" si="4"/>
        <v>0.16411469933184852</v>
      </c>
    </row>
    <row r="17" spans="1:24" ht="18" customHeight="1">
      <c r="A17" s="280" t="s">
        <v>32</v>
      </c>
      <c r="B17" s="275">
        <f>42+9563+40</f>
        <v>9645</v>
      </c>
      <c r="C17" s="114">
        <v>2936</v>
      </c>
      <c r="D17" s="114">
        <v>1220</v>
      </c>
      <c r="E17" s="114">
        <v>195</v>
      </c>
      <c r="F17" s="169">
        <f t="shared" si="8"/>
        <v>13996</v>
      </c>
      <c r="G17" s="114">
        <v>11869</v>
      </c>
      <c r="H17" s="114">
        <v>4096</v>
      </c>
      <c r="I17" s="114">
        <v>1348</v>
      </c>
      <c r="J17" s="114">
        <v>210</v>
      </c>
      <c r="K17" s="114">
        <f t="shared" si="5"/>
        <v>17523</v>
      </c>
      <c r="L17" s="256">
        <f t="shared" si="6"/>
        <v>0.2520005715918834</v>
      </c>
      <c r="M17" s="117">
        <v>13799</v>
      </c>
      <c r="N17" s="114">
        <v>5261</v>
      </c>
      <c r="O17" s="114">
        <v>501</v>
      </c>
      <c r="P17" s="114">
        <v>200</v>
      </c>
      <c r="Q17" s="114">
        <f t="shared" si="1"/>
        <v>19761</v>
      </c>
      <c r="R17" s="256">
        <f t="shared" si="2"/>
        <v>0.12771785653141587</v>
      </c>
      <c r="S17" s="117">
        <v>15794</v>
      </c>
      <c r="T17" s="114">
        <v>4751</v>
      </c>
      <c r="U17" s="114">
        <v>567</v>
      </c>
      <c r="V17" s="114">
        <v>128</v>
      </c>
      <c r="W17" s="169">
        <f>S17+T17+U17+V17</f>
        <v>21240</v>
      </c>
      <c r="X17" s="256">
        <f>(W17/Q17)-1</f>
        <v>0.07484439046606961</v>
      </c>
    </row>
    <row r="18" spans="1:24" ht="18" customHeight="1" thickBot="1">
      <c r="A18" s="342" t="s">
        <v>33</v>
      </c>
      <c r="B18" s="476">
        <f>51+12662+37</f>
        <v>12750</v>
      </c>
      <c r="C18" s="382">
        <v>3727</v>
      </c>
      <c r="D18" s="382">
        <v>1441</v>
      </c>
      <c r="E18" s="382">
        <v>197</v>
      </c>
      <c r="F18" s="384">
        <f t="shared" si="8"/>
        <v>18115</v>
      </c>
      <c r="G18" s="382">
        <v>15176</v>
      </c>
      <c r="H18" s="382">
        <v>5046</v>
      </c>
      <c r="I18" s="382">
        <v>1588</v>
      </c>
      <c r="J18" s="382">
        <v>241</v>
      </c>
      <c r="K18" s="382">
        <f t="shared" si="5"/>
        <v>22051</v>
      </c>
      <c r="L18" s="258">
        <f t="shared" si="6"/>
        <v>0.21727849848192116</v>
      </c>
      <c r="M18" s="392">
        <v>16963</v>
      </c>
      <c r="N18" s="382">
        <v>6374</v>
      </c>
      <c r="O18" s="382">
        <v>637</v>
      </c>
      <c r="P18" s="382">
        <v>221</v>
      </c>
      <c r="Q18" s="382">
        <f t="shared" si="1"/>
        <v>24195</v>
      </c>
      <c r="R18" s="258">
        <f t="shared" si="2"/>
        <v>0.09722915060541482</v>
      </c>
      <c r="S18" s="392">
        <v>18336</v>
      </c>
      <c r="T18" s="382">
        <v>5700</v>
      </c>
      <c r="U18" s="382">
        <v>710</v>
      </c>
      <c r="V18" s="382">
        <v>109</v>
      </c>
      <c r="W18" s="169">
        <f>S18+T18+U18+V18</f>
        <v>24855</v>
      </c>
      <c r="X18" s="256">
        <f>(W18/Q18)-1</f>
        <v>0.027278363298202102</v>
      </c>
    </row>
    <row r="19" spans="1:24" ht="39" customHeight="1" thickBot="1">
      <c r="A19" s="281" t="s">
        <v>47</v>
      </c>
      <c r="B19" s="477">
        <f aca="true" t="shared" si="9" ref="B19:K19">AVERAGE(B13:B18)</f>
        <v>9517.833333333334</v>
      </c>
      <c r="C19" s="259">
        <f t="shared" si="9"/>
        <v>2306.6666666666665</v>
      </c>
      <c r="D19" s="259">
        <f t="shared" si="9"/>
        <v>1036.3333333333333</v>
      </c>
      <c r="E19" s="259">
        <f t="shared" si="9"/>
        <v>190</v>
      </c>
      <c r="F19" s="475">
        <f t="shared" si="9"/>
        <v>13050.833333333334</v>
      </c>
      <c r="G19" s="259">
        <f t="shared" si="9"/>
        <v>11417.666666666666</v>
      </c>
      <c r="H19" s="259">
        <f t="shared" si="9"/>
        <v>3026</v>
      </c>
      <c r="I19" s="259">
        <f t="shared" si="9"/>
        <v>1145.6666666666667</v>
      </c>
      <c r="J19" s="259">
        <f t="shared" si="9"/>
        <v>198.66666666666666</v>
      </c>
      <c r="K19" s="259">
        <f t="shared" si="9"/>
        <v>15788</v>
      </c>
      <c r="L19" s="260">
        <f t="shared" si="6"/>
        <v>0.2097311793627481</v>
      </c>
      <c r="M19" s="274">
        <f>AVERAGE(M13:M18)</f>
        <v>13422</v>
      </c>
      <c r="N19" s="259">
        <f>AVERAGE(N13:N18)</f>
        <v>4064.1666666666665</v>
      </c>
      <c r="O19" s="259">
        <f>AVERAGE(O13:O18)</f>
        <v>453</v>
      </c>
      <c r="P19" s="259">
        <f>AVERAGE(P13:P18)</f>
        <v>208</v>
      </c>
      <c r="Q19" s="259">
        <f>AVERAGE(Q13:Q18)</f>
        <v>18147.166666666668</v>
      </c>
      <c r="R19" s="508">
        <f t="shared" si="2"/>
        <v>0.14942783548686767</v>
      </c>
      <c r="S19" s="274">
        <f>AVERAGE(S13:S18)</f>
        <v>15794.833333333334</v>
      </c>
      <c r="T19" s="259">
        <f>AVERAGE(T13:T18)</f>
        <v>3874</v>
      </c>
      <c r="U19" s="259">
        <f>AVERAGE(U13:U18)</f>
        <v>482.6666666666667</v>
      </c>
      <c r="V19" s="259">
        <f>AVERAGE(V13:V18)</f>
        <v>146.66666666666666</v>
      </c>
      <c r="W19" s="475">
        <f>AVERAGE(W13:W18)</f>
        <v>20298.166666666668</v>
      </c>
      <c r="X19" s="508">
        <f>W19/Q19-1</f>
        <v>0.1185309001405177</v>
      </c>
    </row>
    <row r="20" spans="1:24" ht="37.5" customHeight="1" thickBot="1">
      <c r="A20" s="281" t="s">
        <v>48</v>
      </c>
      <c r="B20" s="277">
        <f aca="true" t="shared" si="10" ref="B20:K20">AVERAGE(B6:B11,B13:B18)</f>
        <v>10275.333333333334</v>
      </c>
      <c r="C20" s="119">
        <f t="shared" si="10"/>
        <v>2543.4166666666665</v>
      </c>
      <c r="D20" s="119">
        <f t="shared" si="10"/>
        <v>1135.3333333333333</v>
      </c>
      <c r="E20" s="119">
        <f t="shared" si="10"/>
        <v>214.66666666666666</v>
      </c>
      <c r="F20" s="203">
        <f t="shared" si="10"/>
        <v>14168.75</v>
      </c>
      <c r="G20" s="259">
        <f t="shared" si="10"/>
        <v>11431.666666666666</v>
      </c>
      <c r="H20" s="259">
        <f t="shared" si="10"/>
        <v>3280.25</v>
      </c>
      <c r="I20" s="259">
        <f t="shared" si="10"/>
        <v>1188.5</v>
      </c>
      <c r="J20" s="259">
        <f t="shared" si="10"/>
        <v>202.08333333333334</v>
      </c>
      <c r="K20" s="259">
        <f t="shared" si="10"/>
        <v>16102.5</v>
      </c>
      <c r="L20" s="260">
        <f t="shared" si="6"/>
        <v>0.1364799294221437</v>
      </c>
      <c r="M20" s="259">
        <f>AVERAGE(M6:M11,M13:M18)</f>
        <v>14041.833333333334</v>
      </c>
      <c r="N20" s="259">
        <f>AVERAGE(N6:N11,N13:N18)</f>
        <v>4617.583333333333</v>
      </c>
      <c r="O20" s="259">
        <f>AVERAGE(O6:O11,O13:O18)</f>
        <v>511.9166666666667</v>
      </c>
      <c r="P20" s="259">
        <f>AVERAGE(P6:P11,P13:P18)</f>
        <v>222.08333333333334</v>
      </c>
      <c r="Q20" s="259">
        <f>AVERAGE(Q6:Q11,Q13:Q18)</f>
        <v>19393.416666666668</v>
      </c>
      <c r="R20" s="508">
        <f t="shared" si="2"/>
        <v>0.2043730269626871</v>
      </c>
      <c r="S20" s="259">
        <f>AVERAGE(S6:S11,S13:S18)</f>
        <v>16154</v>
      </c>
      <c r="T20" s="259">
        <f>AVERAGE(T6:T11,T13:T18)</f>
        <v>4777</v>
      </c>
      <c r="U20" s="259">
        <f>AVERAGE(U6:U11,U13:U18)</f>
        <v>551.8333333333334</v>
      </c>
      <c r="V20" s="259">
        <f>AVERAGE(V6:V11,V13:V18)</f>
        <v>177.33333333333334</v>
      </c>
      <c r="W20" s="475">
        <f>AVERAGE(W6:W11,W13:W18)</f>
        <v>21660.166666666668</v>
      </c>
      <c r="X20" s="508">
        <f>(W20/Q20)-1</f>
        <v>0.1168824472222103</v>
      </c>
    </row>
    <row r="21" ht="12.75">
      <c r="L21" s="141"/>
    </row>
    <row r="22" ht="12.75">
      <c r="L22" s="162"/>
    </row>
    <row r="23" spans="1:24" ht="26.25" customHeight="1">
      <c r="A23" s="557" t="s">
        <v>46</v>
      </c>
      <c r="B23" s="557"/>
      <c r="C23" s="557"/>
      <c r="D23" s="557"/>
      <c r="E23" s="557"/>
      <c r="F23" s="557"/>
      <c r="G23" s="557"/>
      <c r="H23" s="557"/>
      <c r="I23" s="557"/>
      <c r="J23" s="557"/>
      <c r="K23" s="557"/>
      <c r="L23" s="557"/>
      <c r="M23" s="557"/>
      <c r="N23" s="557"/>
      <c r="O23" s="557"/>
      <c r="P23" s="557"/>
      <c r="Q23" s="557"/>
      <c r="R23" s="557"/>
      <c r="S23" s="557"/>
      <c r="T23" s="557"/>
      <c r="U23" s="557"/>
      <c r="V23" s="557"/>
      <c r="W23" s="557"/>
      <c r="X23" s="557"/>
    </row>
    <row r="26" ht="12.75">
      <c r="A26" s="96"/>
    </row>
    <row r="27" spans="1:24" ht="12.75">
      <c r="A27" s="96" t="s">
        <v>121</v>
      </c>
      <c r="H27" s="75"/>
      <c r="I27" s="97"/>
      <c r="J27" s="97"/>
      <c r="K27" s="97"/>
      <c r="O27" s="75"/>
      <c r="P27" s="545"/>
      <c r="Q27" s="545"/>
      <c r="R27" s="97"/>
      <c r="U27" s="75"/>
      <c r="V27" s="545" t="s">
        <v>15</v>
      </c>
      <c r="W27" s="545"/>
      <c r="X27" s="97"/>
    </row>
    <row r="28" spans="1:24" ht="12.75">
      <c r="A28" s="76">
        <v>41814</v>
      </c>
      <c r="H28" s="97"/>
      <c r="I28" s="97"/>
      <c r="J28" s="97"/>
      <c r="K28" s="97"/>
      <c r="O28" s="545"/>
      <c r="P28" s="545"/>
      <c r="Q28" s="545"/>
      <c r="R28" s="545"/>
      <c r="U28" s="545" t="s">
        <v>14</v>
      </c>
      <c r="V28" s="545"/>
      <c r="W28" s="545"/>
      <c r="X28" s="545"/>
    </row>
  </sheetData>
  <sheetProtection/>
  <mergeCells count="14">
    <mergeCell ref="X4:X5"/>
    <mergeCell ref="P27:Q27"/>
    <mergeCell ref="O28:R28"/>
    <mergeCell ref="M4:Q4"/>
    <mergeCell ref="R4:R5"/>
    <mergeCell ref="V27:W27"/>
    <mergeCell ref="U28:X28"/>
    <mergeCell ref="A23:X23"/>
    <mergeCell ref="A3:B3"/>
    <mergeCell ref="L4:L5"/>
    <mergeCell ref="B4:F4"/>
    <mergeCell ref="G4:K4"/>
    <mergeCell ref="B2:W2"/>
    <mergeCell ref="S4:W4"/>
  </mergeCells>
  <printOptions/>
  <pageMargins left="0" right="0" top="0.35433070866141736" bottom="0.15748031496062992"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X36"/>
  <sheetViews>
    <sheetView tabSelected="1" zoomScalePageLayoutView="0" workbookViewId="0" topLeftCell="A19">
      <selection activeCell="A29" sqref="A29"/>
    </sheetView>
  </sheetViews>
  <sheetFormatPr defaultColWidth="17.7109375" defaultRowHeight="12.75"/>
  <cols>
    <col min="1" max="1" width="17.28125" style="0" customWidth="1"/>
    <col min="2" max="2" width="9.57421875" style="0" hidden="1" customWidth="1"/>
    <col min="3" max="5" width="14.140625" style="0" hidden="1" customWidth="1"/>
    <col min="6" max="6" width="9.7109375" style="0" hidden="1" customWidth="1"/>
    <col min="7" max="7" width="14.00390625" style="0" hidden="1" customWidth="1"/>
    <col min="8" max="8" width="8.57421875" style="0" hidden="1" customWidth="1"/>
    <col min="9" max="9" width="14.57421875" style="0" hidden="1" customWidth="1"/>
    <col min="10" max="10" width="8.421875" style="0" hidden="1" customWidth="1"/>
    <col min="11" max="11" width="14.8515625" style="0" hidden="1" customWidth="1"/>
    <col min="12" max="12" width="9.57421875" style="0" hidden="1" customWidth="1"/>
    <col min="13" max="13" width="8.28125" style="0" customWidth="1"/>
    <col min="14" max="14" width="14.7109375" style="0" customWidth="1"/>
    <col min="15" max="15" width="9.00390625" style="0" customWidth="1"/>
    <col min="16" max="16" width="8.7109375" style="0" customWidth="1"/>
    <col min="17" max="17" width="14.7109375" style="0" customWidth="1"/>
    <col min="18" max="18" width="8.28125" style="0" customWidth="1"/>
    <col min="19" max="19" width="8.8515625" style="0" customWidth="1"/>
    <col min="20" max="20" width="15.57421875" style="0" customWidth="1"/>
    <col min="21" max="21" width="8.00390625" style="0" customWidth="1"/>
    <col min="22" max="22" width="8.57421875" style="0" customWidth="1"/>
    <col min="23" max="23" width="15.7109375" style="0" customWidth="1"/>
    <col min="24" max="24" width="8.421875" style="0" customWidth="1"/>
  </cols>
  <sheetData>
    <row r="1" ht="12.75">
      <c r="A1" s="287" t="s">
        <v>118</v>
      </c>
    </row>
    <row r="2" spans="1:22" ht="24" customHeight="1">
      <c r="A2" s="160"/>
      <c r="B2" s="160"/>
      <c r="C2" s="160"/>
      <c r="D2" s="160"/>
      <c r="E2" s="160"/>
      <c r="F2" s="160"/>
      <c r="G2" s="160"/>
      <c r="H2" s="570" t="s">
        <v>108</v>
      </c>
      <c r="I2" s="570"/>
      <c r="J2" s="570"/>
      <c r="K2" s="570"/>
      <c r="L2" s="570"/>
      <c r="M2" s="570"/>
      <c r="N2" s="570"/>
      <c r="O2" s="570"/>
      <c r="P2" s="570"/>
      <c r="Q2" s="570"/>
      <c r="R2" s="570"/>
      <c r="S2" s="570"/>
      <c r="T2" s="570"/>
      <c r="U2" s="570"/>
      <c r="V2" s="570"/>
    </row>
    <row r="3" ht="13.5" customHeight="1" thickBot="1"/>
    <row r="4" spans="1:24" ht="12.75" customHeight="1" thickBot="1">
      <c r="A4" s="70"/>
      <c r="B4" s="564">
        <v>2005</v>
      </c>
      <c r="C4" s="565"/>
      <c r="D4" s="564">
        <v>2006</v>
      </c>
      <c r="E4" s="565"/>
      <c r="F4" s="564">
        <v>2007</v>
      </c>
      <c r="G4" s="565"/>
      <c r="H4" s="564">
        <v>2008</v>
      </c>
      <c r="I4" s="565"/>
      <c r="J4" s="564">
        <v>2009</v>
      </c>
      <c r="K4" s="566"/>
      <c r="L4" s="559" t="s">
        <v>37</v>
      </c>
      <c r="M4" s="564">
        <v>2010</v>
      </c>
      <c r="N4" s="566"/>
      <c r="O4" s="559" t="s">
        <v>38</v>
      </c>
      <c r="P4" s="571">
        <v>2011</v>
      </c>
      <c r="Q4" s="566"/>
      <c r="R4" s="559" t="s">
        <v>40</v>
      </c>
      <c r="S4" s="564">
        <v>2012</v>
      </c>
      <c r="T4" s="566"/>
      <c r="U4" s="559" t="s">
        <v>65</v>
      </c>
      <c r="V4" s="564">
        <v>2013</v>
      </c>
      <c r="W4" s="566"/>
      <c r="X4" s="559" t="s">
        <v>104</v>
      </c>
    </row>
    <row r="5" spans="1:24" ht="12.75" customHeight="1">
      <c r="A5" s="115" t="s">
        <v>17</v>
      </c>
      <c r="B5" s="77" t="s">
        <v>18</v>
      </c>
      <c r="C5" s="80" t="s">
        <v>19</v>
      </c>
      <c r="D5" s="77" t="s">
        <v>18</v>
      </c>
      <c r="E5" s="80" t="s">
        <v>19</v>
      </c>
      <c r="F5" s="77" t="s">
        <v>18</v>
      </c>
      <c r="G5" s="80" t="s">
        <v>19</v>
      </c>
      <c r="H5" s="77" t="s">
        <v>18</v>
      </c>
      <c r="I5" s="567" t="s">
        <v>63</v>
      </c>
      <c r="J5" s="77" t="s">
        <v>18</v>
      </c>
      <c r="K5" s="562" t="s">
        <v>63</v>
      </c>
      <c r="L5" s="560"/>
      <c r="M5" s="77" t="s">
        <v>18</v>
      </c>
      <c r="N5" s="562" t="s">
        <v>63</v>
      </c>
      <c r="O5" s="560"/>
      <c r="P5" s="182" t="s">
        <v>18</v>
      </c>
      <c r="Q5" s="562" t="s">
        <v>63</v>
      </c>
      <c r="R5" s="560"/>
      <c r="S5" s="77" t="s">
        <v>18</v>
      </c>
      <c r="T5" s="562" t="s">
        <v>63</v>
      </c>
      <c r="U5" s="560"/>
      <c r="V5" s="77" t="s">
        <v>18</v>
      </c>
      <c r="W5" s="562" t="s">
        <v>63</v>
      </c>
      <c r="X5" s="560"/>
    </row>
    <row r="6" spans="1:24" ht="12.75">
      <c r="A6" s="71"/>
      <c r="B6" s="78" t="s">
        <v>20</v>
      </c>
      <c r="C6" s="81" t="s">
        <v>34</v>
      </c>
      <c r="D6" s="79" t="s">
        <v>20</v>
      </c>
      <c r="E6" s="81" t="s">
        <v>21</v>
      </c>
      <c r="F6" s="78" t="s">
        <v>20</v>
      </c>
      <c r="G6" s="81" t="s">
        <v>21</v>
      </c>
      <c r="H6" s="79" t="s">
        <v>55</v>
      </c>
      <c r="I6" s="568"/>
      <c r="J6" s="79" t="s">
        <v>55</v>
      </c>
      <c r="K6" s="563"/>
      <c r="L6" s="560"/>
      <c r="M6" s="79" t="s">
        <v>55</v>
      </c>
      <c r="N6" s="563"/>
      <c r="O6" s="560"/>
      <c r="P6" s="183" t="s">
        <v>55</v>
      </c>
      <c r="Q6" s="563"/>
      <c r="R6" s="560"/>
      <c r="S6" s="79" t="s">
        <v>55</v>
      </c>
      <c r="T6" s="563"/>
      <c r="U6" s="560"/>
      <c r="V6" s="79" t="s">
        <v>55</v>
      </c>
      <c r="W6" s="563"/>
      <c r="X6" s="560"/>
    </row>
    <row r="7" spans="1:24" ht="19.5" customHeight="1" thickBot="1">
      <c r="A7" s="72"/>
      <c r="B7" s="82"/>
      <c r="C7" s="83" t="s">
        <v>16</v>
      </c>
      <c r="D7" s="82"/>
      <c r="E7" s="83" t="s">
        <v>16</v>
      </c>
      <c r="F7" s="82"/>
      <c r="G7" s="83" t="s">
        <v>16</v>
      </c>
      <c r="H7" s="82"/>
      <c r="I7" s="84"/>
      <c r="J7" s="82"/>
      <c r="K7" s="174"/>
      <c r="L7" s="561"/>
      <c r="M7" s="82"/>
      <c r="N7" s="174"/>
      <c r="O7" s="561"/>
      <c r="P7" s="184"/>
      <c r="Q7" s="174"/>
      <c r="R7" s="561"/>
      <c r="S7" s="82"/>
      <c r="T7" s="174"/>
      <c r="U7" s="561"/>
      <c r="V7" s="82"/>
      <c r="W7" s="174"/>
      <c r="X7" s="561"/>
    </row>
    <row r="8" spans="1:24" ht="15" customHeight="1">
      <c r="A8" s="132" t="s">
        <v>23</v>
      </c>
      <c r="B8" s="48">
        <v>14673</v>
      </c>
      <c r="C8" s="93">
        <v>2940510</v>
      </c>
      <c r="D8" s="48">
        <v>14562</v>
      </c>
      <c r="E8" s="129">
        <v>3818295</v>
      </c>
      <c r="F8" s="48">
        <v>14489</v>
      </c>
      <c r="G8" s="93">
        <v>3005355</v>
      </c>
      <c r="H8" s="48">
        <v>12860</v>
      </c>
      <c r="I8" s="129">
        <v>6429356</v>
      </c>
      <c r="J8" s="47">
        <v>14841</v>
      </c>
      <c r="K8" s="178">
        <v>5725662</v>
      </c>
      <c r="L8" s="171">
        <f aca="true" t="shared" si="0" ref="L8:L22">J8/H8-1</f>
        <v>0.15404354587869373</v>
      </c>
      <c r="M8" s="47">
        <v>20020</v>
      </c>
      <c r="N8" s="261">
        <v>6402802</v>
      </c>
      <c r="O8" s="262">
        <f aca="true" t="shared" si="1" ref="O8:O22">M8/J8-1</f>
        <v>0.34896570311973596</v>
      </c>
      <c r="P8" s="61">
        <v>20351</v>
      </c>
      <c r="Q8" s="263">
        <v>7694758</v>
      </c>
      <c r="R8" s="262">
        <f aca="true" t="shared" si="2" ref="R8:R22">P8/M8-1</f>
        <v>0.016533466533466434</v>
      </c>
      <c r="S8" s="47">
        <v>24571</v>
      </c>
      <c r="T8" s="263">
        <v>7876600</v>
      </c>
      <c r="U8" s="262">
        <f aca="true" t="shared" si="3" ref="U8:U22">S8/P8-1</f>
        <v>0.2073608176502384</v>
      </c>
      <c r="V8" s="51">
        <f>'δικ κατά μήν και κοιν 2010-2013'!W6</f>
        <v>26620</v>
      </c>
      <c r="W8" s="263">
        <v>12806842</v>
      </c>
      <c r="X8" s="262">
        <f aca="true" t="shared" si="4" ref="X8:X20">V8/S8-1</f>
        <v>0.0833909893777216</v>
      </c>
    </row>
    <row r="9" spans="1:24" ht="15" customHeight="1">
      <c r="A9" s="91" t="s">
        <v>24</v>
      </c>
      <c r="B9" s="50">
        <v>14411</v>
      </c>
      <c r="C9" s="89">
        <v>3852153</v>
      </c>
      <c r="D9" s="50">
        <v>14322</v>
      </c>
      <c r="E9" s="73">
        <v>3421812</v>
      </c>
      <c r="F9" s="50">
        <v>13985</v>
      </c>
      <c r="G9" s="89">
        <v>4133238</v>
      </c>
      <c r="H9" s="50">
        <v>12872</v>
      </c>
      <c r="I9" s="73">
        <v>7705397</v>
      </c>
      <c r="J9" s="49">
        <v>15214</v>
      </c>
      <c r="K9" s="179">
        <v>7721727</v>
      </c>
      <c r="L9" s="172">
        <f t="shared" si="0"/>
        <v>0.18194530764449968</v>
      </c>
      <c r="M9" s="49">
        <v>18653</v>
      </c>
      <c r="N9" s="193">
        <v>9341322</v>
      </c>
      <c r="O9" s="227">
        <f t="shared" si="1"/>
        <v>0.2260418036019456</v>
      </c>
      <c r="P9" s="62">
        <v>19835</v>
      </c>
      <c r="Q9" s="264">
        <v>9733588</v>
      </c>
      <c r="R9" s="227">
        <f t="shared" si="2"/>
        <v>0.06336782287031584</v>
      </c>
      <c r="S9" s="51">
        <v>23999</v>
      </c>
      <c r="T9" s="264">
        <v>13293238</v>
      </c>
      <c r="U9" s="227">
        <f t="shared" si="3"/>
        <v>0.20993193849256375</v>
      </c>
      <c r="V9" s="51">
        <f>'δικ κατά μήν και κοιν 2010-2013'!W7</f>
        <v>26029</v>
      </c>
      <c r="W9" s="264">
        <v>13168840</v>
      </c>
      <c r="X9" s="227">
        <f t="shared" si="4"/>
        <v>0.08458685778574115</v>
      </c>
    </row>
    <row r="10" spans="1:24" ht="15" customHeight="1">
      <c r="A10" s="91" t="s">
        <v>25</v>
      </c>
      <c r="B10" s="50">
        <v>13289</v>
      </c>
      <c r="C10" s="89">
        <v>4243776</v>
      </c>
      <c r="D10" s="50">
        <v>13512</v>
      </c>
      <c r="E10" s="73">
        <v>4348349</v>
      </c>
      <c r="F10" s="50">
        <v>12972</v>
      </c>
      <c r="G10" s="89">
        <v>4375808</v>
      </c>
      <c r="H10" s="50">
        <v>12054</v>
      </c>
      <c r="I10" s="130">
        <v>6561430</v>
      </c>
      <c r="J10" s="49">
        <v>15070</v>
      </c>
      <c r="K10" s="180">
        <v>6994997</v>
      </c>
      <c r="L10" s="172">
        <f t="shared" si="0"/>
        <v>0.250207400033184</v>
      </c>
      <c r="M10" s="49">
        <v>18118</v>
      </c>
      <c r="N10" s="265">
        <v>12306668</v>
      </c>
      <c r="O10" s="227">
        <f t="shared" si="1"/>
        <v>0.20225613802256137</v>
      </c>
      <c r="P10" s="62">
        <v>18795</v>
      </c>
      <c r="Q10" s="266">
        <v>16379537</v>
      </c>
      <c r="R10" s="227">
        <f t="shared" si="2"/>
        <v>0.037366155204768825</v>
      </c>
      <c r="S10" s="51">
        <v>23365</v>
      </c>
      <c r="T10" s="266">
        <v>13221451</v>
      </c>
      <c r="U10" s="227">
        <f t="shared" si="3"/>
        <v>0.24314977387603087</v>
      </c>
      <c r="V10" s="51">
        <f>'δικ κατά μήν και κοιν 2010-2013'!W8</f>
        <v>25463</v>
      </c>
      <c r="W10" s="266">
        <v>8845520</v>
      </c>
      <c r="X10" s="227">
        <f t="shared" si="4"/>
        <v>0.08979242456665948</v>
      </c>
    </row>
    <row r="11" spans="1:24" ht="15" customHeight="1">
      <c r="A11" s="91" t="s">
        <v>26</v>
      </c>
      <c r="B11" s="50">
        <v>8005</v>
      </c>
      <c r="C11" s="89">
        <v>3585663</v>
      </c>
      <c r="D11" s="50">
        <v>8879</v>
      </c>
      <c r="E11" s="73">
        <v>4502221</v>
      </c>
      <c r="F11" s="50">
        <v>8319</v>
      </c>
      <c r="G11" s="89">
        <v>3911497</v>
      </c>
      <c r="H11" s="50">
        <v>7536</v>
      </c>
      <c r="I11" s="73">
        <v>6895257</v>
      </c>
      <c r="J11" s="49">
        <v>11372</v>
      </c>
      <c r="K11" s="175">
        <v>6955494</v>
      </c>
      <c r="L11" s="172">
        <f t="shared" si="0"/>
        <v>0.5090233545647558</v>
      </c>
      <c r="M11" s="49">
        <v>13085</v>
      </c>
      <c r="N11" s="192">
        <v>8344709</v>
      </c>
      <c r="O11" s="227">
        <f t="shared" si="1"/>
        <v>0.1506331340133662</v>
      </c>
      <c r="P11" s="62">
        <v>14693</v>
      </c>
      <c r="Q11" s="267">
        <v>8299999</v>
      </c>
      <c r="R11" s="227">
        <f t="shared" si="2"/>
        <v>0.12288880397401614</v>
      </c>
      <c r="S11" s="51">
        <v>20574</v>
      </c>
      <c r="T11" s="267">
        <v>16676663</v>
      </c>
      <c r="U11" s="227">
        <f t="shared" si="3"/>
        <v>0.40025862655686373</v>
      </c>
      <c r="V11" s="51">
        <f>'δικ κατά μήν και κοιν 2010-2013'!W9</f>
        <v>22232</v>
      </c>
      <c r="W11" s="267">
        <v>28124828</v>
      </c>
      <c r="X11" s="227">
        <f t="shared" si="4"/>
        <v>0.08058714882861873</v>
      </c>
    </row>
    <row r="12" spans="1:24" ht="15" customHeight="1">
      <c r="A12" s="91" t="s">
        <v>27</v>
      </c>
      <c r="B12" s="50">
        <v>7266</v>
      </c>
      <c r="C12" s="89">
        <v>2647918</v>
      </c>
      <c r="D12" s="50">
        <v>7355</v>
      </c>
      <c r="E12" s="73">
        <v>2639504.41</v>
      </c>
      <c r="F12" s="50">
        <v>6149</v>
      </c>
      <c r="G12" s="89">
        <v>3349936</v>
      </c>
      <c r="H12" s="50">
        <v>5808</v>
      </c>
      <c r="I12" s="73">
        <v>4136432</v>
      </c>
      <c r="J12" s="49">
        <v>9699</v>
      </c>
      <c r="K12" s="175">
        <v>9179790</v>
      </c>
      <c r="L12" s="172">
        <f t="shared" si="0"/>
        <v>0.6699380165289257</v>
      </c>
      <c r="M12" s="49">
        <v>10740</v>
      </c>
      <c r="N12" s="192">
        <v>10398300</v>
      </c>
      <c r="O12" s="229">
        <f t="shared" si="1"/>
        <v>0.10733065264460251</v>
      </c>
      <c r="P12" s="62">
        <v>12109</v>
      </c>
      <c r="Q12" s="267">
        <v>8780870</v>
      </c>
      <c r="R12" s="229">
        <f t="shared" si="2"/>
        <v>0.1274674115456238</v>
      </c>
      <c r="S12" s="51">
        <v>15841</v>
      </c>
      <c r="T12" s="267">
        <v>14404648</v>
      </c>
      <c r="U12" s="227">
        <f t="shared" si="3"/>
        <v>0.30820051201585597</v>
      </c>
      <c r="V12" s="51">
        <f>'δικ κατά μήν και κοιν 2010-2013'!W10</f>
        <v>18833</v>
      </c>
      <c r="W12" s="267">
        <v>12962000</v>
      </c>
      <c r="X12" s="227">
        <f t="shared" si="4"/>
        <v>0.18887696483807837</v>
      </c>
    </row>
    <row r="13" spans="1:24" ht="15" customHeight="1" thickBot="1">
      <c r="A13" s="212" t="s">
        <v>28</v>
      </c>
      <c r="B13" s="34">
        <v>7282</v>
      </c>
      <c r="C13" s="213">
        <v>2036403</v>
      </c>
      <c r="D13" s="34">
        <v>7260</v>
      </c>
      <c r="E13" s="214">
        <v>1734611.23</v>
      </c>
      <c r="F13" s="34">
        <v>6516</v>
      </c>
      <c r="G13" s="213">
        <v>2056713</v>
      </c>
      <c r="H13" s="34">
        <v>5954</v>
      </c>
      <c r="I13" s="214">
        <v>2584829.96</v>
      </c>
      <c r="J13" s="35">
        <v>10145</v>
      </c>
      <c r="K13" s="202">
        <v>4954591</v>
      </c>
      <c r="L13" s="200">
        <f t="shared" si="0"/>
        <v>0.7038965401410817</v>
      </c>
      <c r="M13" s="35">
        <v>11103</v>
      </c>
      <c r="N13" s="196">
        <v>6021837</v>
      </c>
      <c r="O13" s="228">
        <f t="shared" si="1"/>
        <v>0.09443075406604229</v>
      </c>
      <c r="P13" s="63">
        <v>12719</v>
      </c>
      <c r="Q13" s="268">
        <v>6967932</v>
      </c>
      <c r="R13" s="228">
        <f t="shared" si="2"/>
        <v>0.14554624876159594</v>
      </c>
      <c r="S13" s="221">
        <v>15488</v>
      </c>
      <c r="T13" s="268">
        <v>9288140</v>
      </c>
      <c r="U13" s="108">
        <f t="shared" si="3"/>
        <v>0.21770579448069816</v>
      </c>
      <c r="V13" s="51">
        <f>'δικ κατά μήν και κοιν 2010-2013'!W11</f>
        <v>18956</v>
      </c>
      <c r="W13" s="268">
        <v>10602509</v>
      </c>
      <c r="X13" s="108">
        <f t="shared" si="4"/>
        <v>0.2239152892561984</v>
      </c>
    </row>
    <row r="14" spans="1:24" ht="57" customHeight="1" thickBot="1">
      <c r="A14" s="291" t="s">
        <v>56</v>
      </c>
      <c r="B14" s="292">
        <f>AVERAGE(B8:B13)</f>
        <v>10821</v>
      </c>
      <c r="C14" s="293">
        <f>SUM(C8:C13)</f>
        <v>19306423</v>
      </c>
      <c r="D14" s="292">
        <f>AVERAGE(D8:D13)</f>
        <v>10981.666666666666</v>
      </c>
      <c r="E14" s="294">
        <f>SUM(E8:E13)</f>
        <v>20464792.64</v>
      </c>
      <c r="F14" s="292">
        <f>AVERAGE(F8:F13)</f>
        <v>10405</v>
      </c>
      <c r="G14" s="293">
        <f>SUM(G8:G13)</f>
        <v>20832547</v>
      </c>
      <c r="H14" s="292">
        <f>AVERAGE(H8:H13)</f>
        <v>9514</v>
      </c>
      <c r="I14" s="295">
        <f>SUM(I8:I13)</f>
        <v>34312701.96</v>
      </c>
      <c r="J14" s="187">
        <f>AVERAGE(J8:J13)</f>
        <v>12723.5</v>
      </c>
      <c r="K14" s="296">
        <f>SUM(K8:K13)</f>
        <v>41532261</v>
      </c>
      <c r="L14" s="185">
        <f t="shared" si="0"/>
        <v>0.3373449653142737</v>
      </c>
      <c r="M14" s="187">
        <f>AVERAGE(M8:M13)</f>
        <v>15286.5</v>
      </c>
      <c r="N14" s="297">
        <f>SUM(N8:N13)</f>
        <v>52815638</v>
      </c>
      <c r="O14" s="272">
        <f t="shared" si="1"/>
        <v>0.20143828349117765</v>
      </c>
      <c r="P14" s="298">
        <f>AVERAGE(P8:P13)</f>
        <v>16417</v>
      </c>
      <c r="Q14" s="297">
        <f>SUM(Q8:Q13)</f>
        <v>57856684</v>
      </c>
      <c r="R14" s="272">
        <f>P14/M14-1</f>
        <v>0.07395414254407484</v>
      </c>
      <c r="S14" s="187">
        <f>AVERAGE(S8:S13)</f>
        <v>20639.666666666668</v>
      </c>
      <c r="T14" s="273">
        <f>SUM(T8:T13)</f>
        <v>74760740</v>
      </c>
      <c r="U14" s="270">
        <f t="shared" si="3"/>
        <v>0.2572130515116444</v>
      </c>
      <c r="V14" s="201">
        <f>AVERAGE(V8:V13)</f>
        <v>23022.166666666668</v>
      </c>
      <c r="W14" s="269">
        <f>SUM(W8:W13)</f>
        <v>86510539</v>
      </c>
      <c r="X14" s="478">
        <f t="shared" si="4"/>
        <v>0.1154330657794862</v>
      </c>
    </row>
    <row r="15" spans="1:24" ht="15" customHeight="1">
      <c r="A15" s="299" t="s">
        <v>29</v>
      </c>
      <c r="B15" s="48">
        <v>8708</v>
      </c>
      <c r="C15" s="93">
        <v>1031804</v>
      </c>
      <c r="D15" s="48">
        <v>8866</v>
      </c>
      <c r="E15" s="129">
        <v>2106129</v>
      </c>
      <c r="F15" s="48">
        <v>8061</v>
      </c>
      <c r="G15" s="93">
        <v>1502791</v>
      </c>
      <c r="H15" s="48">
        <v>7529</v>
      </c>
      <c r="I15" s="129">
        <v>2428466</v>
      </c>
      <c r="J15" s="47">
        <v>12127</v>
      </c>
      <c r="K15" s="300">
        <v>5106587</v>
      </c>
      <c r="L15" s="171">
        <f t="shared" si="0"/>
        <v>0.6107052729446141</v>
      </c>
      <c r="M15" s="47">
        <v>12749</v>
      </c>
      <c r="N15" s="301">
        <v>3590014</v>
      </c>
      <c r="O15" s="262">
        <f t="shared" si="1"/>
        <v>0.05129050878205654</v>
      </c>
      <c r="P15" s="61">
        <v>14759</v>
      </c>
      <c r="Q15" s="301">
        <v>3742612</v>
      </c>
      <c r="R15" s="262">
        <f t="shared" si="2"/>
        <v>0.15765942426857005</v>
      </c>
      <c r="S15" s="47">
        <v>17559</v>
      </c>
      <c r="T15" s="302">
        <v>7397094</v>
      </c>
      <c r="U15" s="262">
        <f t="shared" si="3"/>
        <v>0.1897147503218375</v>
      </c>
      <c r="V15" s="51">
        <f>'δικ κατά μήν και κοιν 2010-2013'!W13</f>
        <v>20026</v>
      </c>
      <c r="W15" s="302">
        <v>8606327</v>
      </c>
      <c r="X15" s="111">
        <f t="shared" si="4"/>
        <v>0.14049775044136914</v>
      </c>
    </row>
    <row r="16" spans="1:24" ht="15" customHeight="1">
      <c r="A16" s="91" t="s">
        <v>7</v>
      </c>
      <c r="B16" s="50">
        <v>8419</v>
      </c>
      <c r="C16" s="89">
        <v>2904935.01</v>
      </c>
      <c r="D16" s="50">
        <v>8827</v>
      </c>
      <c r="E16" s="73">
        <v>1377861</v>
      </c>
      <c r="F16" s="50">
        <v>7992</v>
      </c>
      <c r="G16" s="89">
        <v>2217876</v>
      </c>
      <c r="H16" s="50">
        <v>7648</v>
      </c>
      <c r="I16" s="73">
        <v>3006346</v>
      </c>
      <c r="J16" s="49">
        <v>12023</v>
      </c>
      <c r="K16" s="175">
        <v>4571245</v>
      </c>
      <c r="L16" s="172">
        <f t="shared" si="0"/>
        <v>0.5720449790794979</v>
      </c>
      <c r="M16" s="49">
        <v>12320</v>
      </c>
      <c r="N16" s="192">
        <v>5135684</v>
      </c>
      <c r="O16" s="227">
        <f t="shared" si="1"/>
        <v>0.02470265324794152</v>
      </c>
      <c r="P16" s="69">
        <v>14356</v>
      </c>
      <c r="Q16" s="192">
        <v>5949558</v>
      </c>
      <c r="R16" s="227">
        <f t="shared" si="2"/>
        <v>0.16525974025974022</v>
      </c>
      <c r="S16" s="51">
        <v>16606</v>
      </c>
      <c r="T16" s="267">
        <v>6406861</v>
      </c>
      <c r="U16" s="227">
        <f t="shared" si="3"/>
        <v>0.15672889384229594</v>
      </c>
      <c r="V16" s="51">
        <f>'δικ κατά μήν και κοιν 2010-2013'!W14</f>
        <v>19330</v>
      </c>
      <c r="W16" s="267">
        <v>9095878</v>
      </c>
      <c r="X16" s="312">
        <f t="shared" si="4"/>
        <v>0.16403709502589425</v>
      </c>
    </row>
    <row r="17" spans="1:24" ht="15" customHeight="1">
      <c r="A17" s="91" t="s">
        <v>30</v>
      </c>
      <c r="B17" s="50">
        <v>7846</v>
      </c>
      <c r="C17" s="89">
        <v>2923665.34</v>
      </c>
      <c r="D17" s="50">
        <v>8413</v>
      </c>
      <c r="E17" s="73">
        <v>3020351.79</v>
      </c>
      <c r="F17" s="50">
        <v>7618</v>
      </c>
      <c r="G17" s="89">
        <v>2150669</v>
      </c>
      <c r="H17" s="50">
        <v>6945</v>
      </c>
      <c r="I17" s="73">
        <v>3873569</v>
      </c>
      <c r="J17" s="49">
        <v>11661</v>
      </c>
      <c r="K17" s="175">
        <v>7025665</v>
      </c>
      <c r="L17" s="172">
        <f t="shared" si="0"/>
        <v>0.6790496760259179</v>
      </c>
      <c r="M17" s="49">
        <v>11323</v>
      </c>
      <c r="N17" s="192">
        <v>8542058</v>
      </c>
      <c r="O17" s="227">
        <f t="shared" si="1"/>
        <v>-0.02898550724637683</v>
      </c>
      <c r="P17" s="69">
        <v>13780</v>
      </c>
      <c r="Q17" s="192">
        <v>8229483</v>
      </c>
      <c r="R17" s="229">
        <f t="shared" si="2"/>
        <v>0.21699196326061987</v>
      </c>
      <c r="S17" s="51">
        <v>16394</v>
      </c>
      <c r="T17" s="267">
        <v>11517137</v>
      </c>
      <c r="U17" s="227">
        <f t="shared" si="3"/>
        <v>0.18969521044992743</v>
      </c>
      <c r="V17" s="51">
        <f>'δικ κατά μήν και κοιν 2010-2013'!W15</f>
        <v>19612</v>
      </c>
      <c r="W17" s="313">
        <v>9533807</v>
      </c>
      <c r="X17" s="312">
        <f t="shared" si="4"/>
        <v>0.19629132609491284</v>
      </c>
    </row>
    <row r="18" spans="1:24" ht="15" customHeight="1">
      <c r="A18" s="91" t="s">
        <v>31</v>
      </c>
      <c r="B18" s="50">
        <v>6917</v>
      </c>
      <c r="C18" s="89">
        <v>1827238</v>
      </c>
      <c r="D18" s="50">
        <v>6743</v>
      </c>
      <c r="E18" s="73">
        <v>2304286</v>
      </c>
      <c r="F18" s="50">
        <v>5798</v>
      </c>
      <c r="G18" s="89">
        <v>2070347</v>
      </c>
      <c r="H18" s="50">
        <v>5771</v>
      </c>
      <c r="I18" s="73">
        <v>3454842</v>
      </c>
      <c r="J18" s="49">
        <v>10381</v>
      </c>
      <c r="K18" s="175">
        <v>5069350</v>
      </c>
      <c r="L18" s="172">
        <f t="shared" si="0"/>
        <v>0.798821694680298</v>
      </c>
      <c r="M18" s="49">
        <v>9802</v>
      </c>
      <c r="N18" s="192">
        <v>4385709</v>
      </c>
      <c r="O18" s="227">
        <f t="shared" si="1"/>
        <v>-0.05577497350929583</v>
      </c>
      <c r="P18" s="69">
        <v>12259</v>
      </c>
      <c r="Q18" s="192">
        <v>7387566</v>
      </c>
      <c r="R18" s="229">
        <f t="shared" si="2"/>
        <v>0.25066312997347473</v>
      </c>
      <c r="S18" s="51">
        <v>14368</v>
      </c>
      <c r="T18" s="267">
        <v>9890312</v>
      </c>
      <c r="U18" s="227">
        <f t="shared" si="3"/>
        <v>0.172036870870381</v>
      </c>
      <c r="V18" s="51">
        <f>'δικ κατά μήν και κοιν 2010-2013'!W16</f>
        <v>16726</v>
      </c>
      <c r="W18" s="313">
        <v>13392733.12</v>
      </c>
      <c r="X18" s="312">
        <f t="shared" si="4"/>
        <v>0.16411469933184852</v>
      </c>
    </row>
    <row r="19" spans="1:24" ht="15" customHeight="1">
      <c r="A19" s="91" t="s">
        <v>32</v>
      </c>
      <c r="B19" s="50">
        <v>10002</v>
      </c>
      <c r="C19" s="89">
        <v>1990787</v>
      </c>
      <c r="D19" s="50">
        <v>10026</v>
      </c>
      <c r="E19" s="73">
        <v>2463829</v>
      </c>
      <c r="F19" s="50">
        <v>8930</v>
      </c>
      <c r="G19" s="89">
        <v>1916507</v>
      </c>
      <c r="H19" s="50">
        <v>9212</v>
      </c>
      <c r="I19" s="73">
        <v>2912126</v>
      </c>
      <c r="J19" s="49">
        <v>14716</v>
      </c>
      <c r="K19" s="175">
        <v>7174890</v>
      </c>
      <c r="L19" s="172">
        <f t="shared" si="0"/>
        <v>0.5974815458098133</v>
      </c>
      <c r="M19" s="49">
        <v>13996</v>
      </c>
      <c r="N19" s="192">
        <v>6514316</v>
      </c>
      <c r="O19" s="227">
        <f t="shared" si="1"/>
        <v>-0.04892633867898888</v>
      </c>
      <c r="P19" s="69">
        <v>17523</v>
      </c>
      <c r="Q19" s="192">
        <v>8227126</v>
      </c>
      <c r="R19" s="229">
        <f t="shared" si="2"/>
        <v>0.2520005715918834</v>
      </c>
      <c r="S19" s="51">
        <v>19761</v>
      </c>
      <c r="T19" s="267">
        <v>7834516</v>
      </c>
      <c r="U19" s="227">
        <f t="shared" si="3"/>
        <v>0.12771785653141587</v>
      </c>
      <c r="V19" s="51">
        <f>'δικ κατά μήν και κοιν 2010-2013'!W17</f>
        <v>21240</v>
      </c>
      <c r="W19" s="313">
        <v>14301504</v>
      </c>
      <c r="X19" s="312">
        <f t="shared" si="4"/>
        <v>0.07484439046606961</v>
      </c>
    </row>
    <row r="20" spans="1:24" ht="15" customHeight="1" thickBot="1">
      <c r="A20" s="133" t="s">
        <v>33</v>
      </c>
      <c r="B20" s="54">
        <v>13093</v>
      </c>
      <c r="C20" s="135">
        <v>1935627</v>
      </c>
      <c r="D20" s="54">
        <v>12931</v>
      </c>
      <c r="E20" s="134">
        <v>1815997</v>
      </c>
      <c r="F20" s="54">
        <v>12041</v>
      </c>
      <c r="G20" s="135">
        <v>1472275</v>
      </c>
      <c r="H20" s="54">
        <v>12724</v>
      </c>
      <c r="I20" s="134">
        <v>3423575</v>
      </c>
      <c r="J20" s="53">
        <v>18370</v>
      </c>
      <c r="K20" s="176">
        <v>7432835</v>
      </c>
      <c r="L20" s="173">
        <f t="shared" si="0"/>
        <v>0.4437283872995914</v>
      </c>
      <c r="M20" s="53">
        <v>18115</v>
      </c>
      <c r="N20" s="271">
        <v>4825777</v>
      </c>
      <c r="O20" s="68">
        <f t="shared" si="1"/>
        <v>-0.0138813282525857</v>
      </c>
      <c r="P20" s="303">
        <v>22051</v>
      </c>
      <c r="Q20" s="271">
        <v>6997865</v>
      </c>
      <c r="R20" s="304">
        <f t="shared" si="2"/>
        <v>0.21727849848192116</v>
      </c>
      <c r="S20" s="311">
        <v>24195</v>
      </c>
      <c r="T20" s="271">
        <v>6661968</v>
      </c>
      <c r="U20" s="68">
        <f t="shared" si="3"/>
        <v>0.09722915060541482</v>
      </c>
      <c r="V20" s="51">
        <f>'δικ κατά μήν και κοιν 2010-2013'!W18</f>
        <v>24855</v>
      </c>
      <c r="W20" s="314">
        <v>8462540.42</v>
      </c>
      <c r="X20" s="312">
        <f t="shared" si="4"/>
        <v>0.027278363298202102</v>
      </c>
    </row>
    <row r="21" spans="1:24" ht="57.75" customHeight="1" thickBot="1">
      <c r="A21" s="136" t="s">
        <v>57</v>
      </c>
      <c r="B21" s="144">
        <f>AVERAGE(B15:B20)</f>
        <v>9164.166666666666</v>
      </c>
      <c r="C21" s="139">
        <f>SUM(C15:C20)</f>
        <v>12614056.35</v>
      </c>
      <c r="D21" s="138">
        <f>AVERAGE(D15:D20)</f>
        <v>9301</v>
      </c>
      <c r="E21" s="137">
        <f>SUM(E15:E20)</f>
        <v>13088453.79</v>
      </c>
      <c r="F21" s="144">
        <f>AVERAGE(F15:F20)</f>
        <v>8406.666666666666</v>
      </c>
      <c r="G21" s="139">
        <f>SUM(G15:G20)</f>
        <v>11330465</v>
      </c>
      <c r="H21" s="143">
        <f>AVERAGE(H15:H20)</f>
        <v>8304.833333333334</v>
      </c>
      <c r="I21" s="140">
        <f>SUM(I15:I20)</f>
        <v>19098924</v>
      </c>
      <c r="J21" s="143">
        <f>AVERAGE(J15:J20)</f>
        <v>13213</v>
      </c>
      <c r="K21" s="177">
        <f>SUM(K15:K20)</f>
        <v>36380572</v>
      </c>
      <c r="L21" s="142">
        <f t="shared" si="0"/>
        <v>0.5910012241867184</v>
      </c>
      <c r="M21" s="143">
        <f>AVERAGE(M15:M20)</f>
        <v>13050.833333333334</v>
      </c>
      <c r="N21" s="177">
        <f>SUM(N15:N20)</f>
        <v>32993558</v>
      </c>
      <c r="O21" s="142">
        <f t="shared" si="1"/>
        <v>-0.012273266227704971</v>
      </c>
      <c r="P21" s="106">
        <f>AVERAGE(P15:P20)</f>
        <v>15788</v>
      </c>
      <c r="Q21" s="479">
        <f>SUM(Q15:Q20)</f>
        <v>40534210</v>
      </c>
      <c r="R21" s="478">
        <f t="shared" si="2"/>
        <v>0.2097311793627481</v>
      </c>
      <c r="S21" s="106">
        <f>AVERAGE(S15:S20)</f>
        <v>18147.166666666668</v>
      </c>
      <c r="T21" s="479">
        <f>SUM(T15:T20)</f>
        <v>49707888</v>
      </c>
      <c r="U21" s="478">
        <f t="shared" si="3"/>
        <v>0.14942783548686767</v>
      </c>
      <c r="V21" s="106">
        <f>AVERAGE(V15:V20)</f>
        <v>20298.166666666668</v>
      </c>
      <c r="W21" s="479">
        <f>SUM(W15:W20)</f>
        <v>63392789.54</v>
      </c>
      <c r="X21" s="478">
        <f>V21/S21-1</f>
        <v>0.1185309001405177</v>
      </c>
    </row>
    <row r="22" spans="1:24" ht="46.5" customHeight="1" thickBot="1">
      <c r="A22" s="124" t="s">
        <v>58</v>
      </c>
      <c r="B22" s="106">
        <f>AVERAGE(B14,B21)</f>
        <v>9992.583333333332</v>
      </c>
      <c r="C22" s="90">
        <f>SUM(C14,C21)</f>
        <v>31920479.35</v>
      </c>
      <c r="D22" s="106">
        <f>AVERAGE(D14,D21)</f>
        <v>10141.333333333332</v>
      </c>
      <c r="E22" s="74">
        <f>SUM(E14,E21)</f>
        <v>33553246.43</v>
      </c>
      <c r="F22" s="106">
        <f>AVERAGE(F14,F21)</f>
        <v>9405.833333333332</v>
      </c>
      <c r="G22" s="90">
        <f>SUM(G14,G21)</f>
        <v>32163012</v>
      </c>
      <c r="H22" s="148">
        <f>AVERAGE(H8:H13,H15:H20)</f>
        <v>8909.416666666666</v>
      </c>
      <c r="I22" s="150">
        <f>SUM(I14,I21)</f>
        <v>53411625.96</v>
      </c>
      <c r="J22" s="148">
        <f>AVERAGE(J8:J13,J15:J20)</f>
        <v>12968.25</v>
      </c>
      <c r="K22" s="181">
        <f>SUM(K14,K21)</f>
        <v>77912833</v>
      </c>
      <c r="L22" s="185">
        <f t="shared" si="0"/>
        <v>0.45556667570828635</v>
      </c>
      <c r="M22" s="148">
        <f>AVERAGE(M8:M13,M15:M20)</f>
        <v>14168.666666666666</v>
      </c>
      <c r="N22" s="480">
        <f>SUM(N14,N21)</f>
        <v>85809196</v>
      </c>
      <c r="O22" s="185">
        <f t="shared" si="1"/>
        <v>0.09256581779859774</v>
      </c>
      <c r="P22" s="106">
        <f>AVERAGE(P8:P13,P15:P20)</f>
        <v>16102.5</v>
      </c>
      <c r="Q22" s="481">
        <f>SUM(Q14,Q21)</f>
        <v>98390894</v>
      </c>
      <c r="R22" s="478">
        <f t="shared" si="2"/>
        <v>0.13648661365454284</v>
      </c>
      <c r="S22" s="106">
        <f>AVERAGE(S8:S13,S15:S20)</f>
        <v>19393.416666666668</v>
      </c>
      <c r="T22" s="479">
        <f>SUM(T14,T21)</f>
        <v>124468628</v>
      </c>
      <c r="U22" s="478">
        <f t="shared" si="3"/>
        <v>0.2043730269626871</v>
      </c>
      <c r="V22" s="106">
        <f>AVERAGE(V8:V13,V15:V20)</f>
        <v>21660.166666666668</v>
      </c>
      <c r="W22" s="479">
        <f>SUM(W14,W21)</f>
        <v>149903328.54</v>
      </c>
      <c r="X22" s="478">
        <f>V22/S22-1</f>
        <v>0.1168824472222103</v>
      </c>
    </row>
    <row r="23" spans="1:24" ht="18" customHeight="1" thickBot="1">
      <c r="A23" s="145" t="s">
        <v>62</v>
      </c>
      <c r="B23" s="210"/>
      <c r="C23" s="210"/>
      <c r="D23" s="210"/>
      <c r="E23" s="210"/>
      <c r="F23" s="210"/>
      <c r="G23" s="290">
        <v>54812341</v>
      </c>
      <c r="H23" s="146"/>
      <c r="I23" s="147">
        <v>54291437</v>
      </c>
      <c r="J23" s="146"/>
      <c r="K23" s="152">
        <v>77869786</v>
      </c>
      <c r="L23" s="186"/>
      <c r="M23" s="482"/>
      <c r="N23" s="481">
        <v>85809195</v>
      </c>
      <c r="O23" s="483"/>
      <c r="P23" s="483"/>
      <c r="Q23" s="484">
        <v>98390894</v>
      </c>
      <c r="R23" s="483"/>
      <c r="S23" s="483"/>
      <c r="T23" s="484">
        <v>124468629</v>
      </c>
      <c r="U23" s="483"/>
      <c r="V23" s="483"/>
      <c r="W23" s="509">
        <v>150239188</v>
      </c>
      <c r="X23" s="485"/>
    </row>
    <row r="24" spans="1:17" ht="6.75" customHeight="1">
      <c r="A24" s="154"/>
      <c r="B24" s="155"/>
      <c r="C24" s="155"/>
      <c r="D24" s="155"/>
      <c r="E24" s="155"/>
      <c r="F24" s="155"/>
      <c r="G24" s="155"/>
      <c r="H24" s="149"/>
      <c r="I24" s="156"/>
      <c r="J24" s="149"/>
      <c r="K24" s="151"/>
      <c r="L24" s="107"/>
      <c r="M24" s="107"/>
      <c r="N24" s="153"/>
      <c r="O24" s="23"/>
      <c r="P24" s="23"/>
      <c r="Q24" s="157"/>
    </row>
    <row r="25" spans="1:24" ht="22.5" customHeight="1">
      <c r="A25" s="569" t="s">
        <v>60</v>
      </c>
      <c r="B25" s="569"/>
      <c r="C25" s="569"/>
      <c r="D25" s="569"/>
      <c r="E25" s="569"/>
      <c r="F25" s="569"/>
      <c r="G25" s="569"/>
      <c r="H25" s="569"/>
      <c r="I25" s="569"/>
      <c r="J25" s="569"/>
      <c r="K25" s="569"/>
      <c r="L25" s="569"/>
      <c r="M25" s="569"/>
      <c r="N25" s="569"/>
      <c r="O25" s="569"/>
      <c r="P25" s="569"/>
      <c r="Q25" s="569"/>
      <c r="R25" s="569"/>
      <c r="S25" s="569"/>
      <c r="T25" s="569"/>
      <c r="U25" s="569"/>
      <c r="V25" s="569"/>
      <c r="W25" s="569"/>
      <c r="X25" s="569"/>
    </row>
    <row r="26" spans="1:15" ht="12" customHeight="1">
      <c r="A26" s="126" t="s">
        <v>61</v>
      </c>
      <c r="B26" s="75"/>
      <c r="C26" s="75"/>
      <c r="D26" s="75"/>
      <c r="E26" s="75"/>
      <c r="F26" s="97"/>
      <c r="G26" s="97"/>
      <c r="H26" s="98"/>
      <c r="I26" s="95"/>
      <c r="J26" s="127"/>
      <c r="K26" s="128"/>
      <c r="L26" s="97"/>
      <c r="M26" s="97"/>
      <c r="N26" s="97"/>
      <c r="O26" s="97"/>
    </row>
    <row r="27" spans="1:15" ht="12.75" customHeight="1">
      <c r="A27" s="125" t="s">
        <v>59</v>
      </c>
      <c r="B27" s="75"/>
      <c r="C27" s="75"/>
      <c r="D27" s="75"/>
      <c r="E27" s="75"/>
      <c r="F27" s="95"/>
      <c r="G27" s="95"/>
      <c r="H27" s="97"/>
      <c r="I27" s="95"/>
      <c r="J27" s="95"/>
      <c r="K27" s="128"/>
      <c r="L27" s="128"/>
      <c r="M27" s="128"/>
      <c r="N27" s="128"/>
      <c r="O27" s="128"/>
    </row>
    <row r="28" spans="1:24" ht="28.5" customHeight="1">
      <c r="A28" s="558" t="s">
        <v>148</v>
      </c>
      <c r="B28" s="558"/>
      <c r="C28" s="558"/>
      <c r="D28" s="558"/>
      <c r="E28" s="558"/>
      <c r="F28" s="558"/>
      <c r="G28" s="558"/>
      <c r="H28" s="558"/>
      <c r="I28" s="558"/>
      <c r="J28" s="558"/>
      <c r="K28" s="558"/>
      <c r="L28" s="558"/>
      <c r="M28" s="558"/>
      <c r="N28" s="558"/>
      <c r="O28" s="558"/>
      <c r="P28" s="558"/>
      <c r="Q28" s="558"/>
      <c r="R28" s="558"/>
      <c r="S28" s="558"/>
      <c r="T28" s="558"/>
      <c r="U28" s="558"/>
      <c r="V28" s="558"/>
      <c r="W28" s="558"/>
      <c r="X28" s="558"/>
    </row>
    <row r="29" spans="1:16" ht="12.75">
      <c r="A29" s="76"/>
      <c r="B29" s="75"/>
      <c r="C29" s="75"/>
      <c r="D29" s="75"/>
      <c r="E29" s="75"/>
      <c r="F29" s="545"/>
      <c r="G29" s="545"/>
      <c r="H29" s="98"/>
      <c r="N29" s="95"/>
      <c r="O29" s="95"/>
      <c r="P29" s="95"/>
    </row>
    <row r="30" spans="1:24" ht="12.75">
      <c r="A30" s="96" t="s">
        <v>105</v>
      </c>
      <c r="B30" s="96"/>
      <c r="C30" s="96"/>
      <c r="D30" s="96"/>
      <c r="E30" s="96"/>
      <c r="F30" s="95"/>
      <c r="G30" s="95"/>
      <c r="H30" s="97"/>
      <c r="I30" s="75"/>
      <c r="J30" s="76"/>
      <c r="K30" s="95"/>
      <c r="L30" s="95"/>
      <c r="M30" s="95"/>
      <c r="N30" s="95"/>
      <c r="O30" s="127"/>
      <c r="P30" s="95"/>
      <c r="Q30" s="75"/>
      <c r="R30" s="75"/>
      <c r="S30" s="95"/>
      <c r="T30" s="75"/>
      <c r="U30" s="75"/>
      <c r="V30" s="75"/>
      <c r="W30" s="95" t="s">
        <v>15</v>
      </c>
      <c r="X30" s="75"/>
    </row>
    <row r="31" spans="1:24" ht="12.75">
      <c r="A31" s="76">
        <f>'δικ κατά μήν και κοιν 2010-2013'!A28</f>
        <v>41814</v>
      </c>
      <c r="B31" s="75"/>
      <c r="C31" s="75"/>
      <c r="D31" s="75"/>
      <c r="E31" s="75"/>
      <c r="F31" s="545"/>
      <c r="G31" s="545"/>
      <c r="H31" s="98"/>
      <c r="I31" s="75"/>
      <c r="J31" s="75"/>
      <c r="K31" s="75"/>
      <c r="L31" s="75"/>
      <c r="M31" s="75"/>
      <c r="N31" s="95"/>
      <c r="O31" s="95"/>
      <c r="P31" s="95"/>
      <c r="Q31" s="75"/>
      <c r="R31" s="75"/>
      <c r="S31" s="95"/>
      <c r="T31" s="75"/>
      <c r="U31" s="75"/>
      <c r="V31" s="75"/>
      <c r="W31" s="95" t="s">
        <v>14</v>
      </c>
      <c r="X31" s="75"/>
    </row>
    <row r="32" spans="1:24" ht="12.75">
      <c r="A32" s="76"/>
      <c r="B32" s="75"/>
      <c r="C32" s="75"/>
      <c r="D32" s="75"/>
      <c r="E32" s="75"/>
      <c r="F32" s="545"/>
      <c r="G32" s="545"/>
      <c r="H32" s="98"/>
      <c r="I32" s="75"/>
      <c r="J32" s="75"/>
      <c r="K32" s="75"/>
      <c r="L32" s="75"/>
      <c r="M32" s="75"/>
      <c r="N32" s="95"/>
      <c r="O32" s="95"/>
      <c r="P32" s="95"/>
      <c r="Q32" s="75"/>
      <c r="R32" s="75"/>
      <c r="S32" s="75"/>
      <c r="T32" s="75"/>
      <c r="U32" s="75"/>
      <c r="V32" s="75"/>
      <c r="W32" s="75"/>
      <c r="X32" s="75"/>
    </row>
    <row r="36" ht="12.75">
      <c r="A36" s="37"/>
    </row>
  </sheetData>
  <sheetProtection/>
  <mergeCells count="26">
    <mergeCell ref="H2:V2"/>
    <mergeCell ref="V4:W4"/>
    <mergeCell ref="X4:X7"/>
    <mergeCell ref="W5:W6"/>
    <mergeCell ref="F29:G29"/>
    <mergeCell ref="O4:O7"/>
    <mergeCell ref="F4:G4"/>
    <mergeCell ref="S4:T4"/>
    <mergeCell ref="K5:K6"/>
    <mergeCell ref="P4:Q4"/>
    <mergeCell ref="F32:G32"/>
    <mergeCell ref="Q5:Q6"/>
    <mergeCell ref="F31:G31"/>
    <mergeCell ref="B4:C4"/>
    <mergeCell ref="D4:E4"/>
    <mergeCell ref="M4:N4"/>
    <mergeCell ref="J4:K4"/>
    <mergeCell ref="I5:I6"/>
    <mergeCell ref="A25:X25"/>
    <mergeCell ref="A28:X28"/>
    <mergeCell ref="U4:U7"/>
    <mergeCell ref="T5:T6"/>
    <mergeCell ref="L4:L7"/>
    <mergeCell ref="R4:R7"/>
    <mergeCell ref="H4:I4"/>
    <mergeCell ref="N5:N6"/>
  </mergeCells>
  <printOptions/>
  <pageMargins left="0" right="0" top="0" bottom="0"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3"/>
  <sheetViews>
    <sheetView zoomScalePageLayoutView="0" workbookViewId="0" topLeftCell="A1">
      <selection activeCell="E17" sqref="E17"/>
    </sheetView>
  </sheetViews>
  <sheetFormatPr defaultColWidth="9.140625" defaultRowHeight="12.75"/>
  <cols>
    <col min="1" max="1" width="5.57421875" style="0" customWidth="1"/>
    <col min="2" max="2" width="53.57421875" style="0" customWidth="1"/>
    <col min="3" max="7" width="12.7109375" style="0" customWidth="1"/>
    <col min="8" max="8" width="11.00390625" style="0" customWidth="1"/>
  </cols>
  <sheetData>
    <row r="1" spans="1:2" ht="19.5" customHeight="1">
      <c r="A1" s="287" t="s">
        <v>131</v>
      </c>
      <c r="B1" s="287"/>
    </row>
    <row r="2" spans="1:7" ht="28.5" customHeight="1">
      <c r="A2" s="579" t="s">
        <v>106</v>
      </c>
      <c r="B2" s="579"/>
      <c r="C2" s="579"/>
      <c r="D2" s="579"/>
      <c r="E2" s="579"/>
      <c r="F2" s="579"/>
      <c r="G2" s="579"/>
    </row>
    <row r="3" spans="1:3" ht="11.25" customHeight="1" thickBot="1">
      <c r="A3" s="586"/>
      <c r="B3" s="586"/>
      <c r="C3" s="586"/>
    </row>
    <row r="4" spans="1:8" ht="15.75" customHeight="1">
      <c r="A4" s="398"/>
      <c r="B4" s="399"/>
      <c r="C4" s="575" t="s">
        <v>66</v>
      </c>
      <c r="D4" s="576"/>
      <c r="E4" s="576"/>
      <c r="F4" s="576"/>
      <c r="G4" s="576"/>
      <c r="H4" s="577"/>
    </row>
    <row r="5" spans="1:9" ht="17.25" customHeight="1">
      <c r="A5" s="400" t="s">
        <v>67</v>
      </c>
      <c r="B5" s="401" t="s">
        <v>68</v>
      </c>
      <c r="C5" s="580" t="s">
        <v>69</v>
      </c>
      <c r="D5" s="581"/>
      <c r="E5" s="582" t="s">
        <v>70</v>
      </c>
      <c r="F5" s="583"/>
      <c r="G5" s="584" t="s">
        <v>6</v>
      </c>
      <c r="H5" s="573" t="s">
        <v>144</v>
      </c>
      <c r="I5" s="572"/>
    </row>
    <row r="6" spans="1:9" ht="21.75" customHeight="1" thickBot="1">
      <c r="A6" s="402"/>
      <c r="B6" s="431"/>
      <c r="C6" s="417" t="s">
        <v>71</v>
      </c>
      <c r="D6" s="418" t="s">
        <v>72</v>
      </c>
      <c r="E6" s="418" t="s">
        <v>72</v>
      </c>
      <c r="F6" s="318" t="s">
        <v>73</v>
      </c>
      <c r="G6" s="585"/>
      <c r="H6" s="574"/>
      <c r="I6" s="572"/>
    </row>
    <row r="7" spans="1:8" ht="15" customHeight="1">
      <c r="A7" s="403">
        <v>1</v>
      </c>
      <c r="B7" s="429" t="s">
        <v>74</v>
      </c>
      <c r="C7" s="416">
        <v>0</v>
      </c>
      <c r="D7" s="240">
        <v>0</v>
      </c>
      <c r="E7" s="265">
        <v>0</v>
      </c>
      <c r="F7" s="265">
        <v>159</v>
      </c>
      <c r="G7" s="237">
        <f>C7+D7+E7+F7</f>
        <v>159</v>
      </c>
      <c r="H7" s="487">
        <f>G7/G30</f>
        <v>0.004360225963911589</v>
      </c>
    </row>
    <row r="8" spans="1:8" ht="15" customHeight="1">
      <c r="A8" s="403">
        <v>2</v>
      </c>
      <c r="B8" s="404" t="s">
        <v>75</v>
      </c>
      <c r="C8" s="411">
        <v>0</v>
      </c>
      <c r="D8" s="192">
        <v>0</v>
      </c>
      <c r="E8" s="193">
        <v>0</v>
      </c>
      <c r="F8" s="193">
        <v>62</v>
      </c>
      <c r="G8" s="237">
        <f aca="true" t="shared" si="0" ref="G8:G29">C8+D8+E8+F8</f>
        <v>62</v>
      </c>
      <c r="H8" s="412">
        <f>G8/G30</f>
        <v>0.001700213897877475</v>
      </c>
    </row>
    <row r="9" spans="1:8" ht="15" customHeight="1">
      <c r="A9" s="403">
        <v>3</v>
      </c>
      <c r="B9" s="404" t="s">
        <v>76</v>
      </c>
      <c r="C9" s="411">
        <v>141</v>
      </c>
      <c r="D9" s="192">
        <v>0</v>
      </c>
      <c r="E9" s="193">
        <v>0</v>
      </c>
      <c r="F9" s="193">
        <v>2690</v>
      </c>
      <c r="G9" s="237">
        <f t="shared" si="0"/>
        <v>2831</v>
      </c>
      <c r="H9" s="412">
        <f>G9/G30</f>
        <v>0.07763396040146986</v>
      </c>
    </row>
    <row r="10" spans="1:8" ht="15" customHeight="1">
      <c r="A10" s="403">
        <v>4</v>
      </c>
      <c r="B10" s="404" t="s">
        <v>77</v>
      </c>
      <c r="C10" s="413">
        <v>0</v>
      </c>
      <c r="D10" s="194">
        <v>0</v>
      </c>
      <c r="E10" s="195">
        <v>0</v>
      </c>
      <c r="F10" s="179">
        <v>15</v>
      </c>
      <c r="G10" s="237">
        <f t="shared" si="0"/>
        <v>15</v>
      </c>
      <c r="H10" s="412">
        <f>G10/G30</f>
        <v>0.00041134207206713105</v>
      </c>
    </row>
    <row r="11" spans="1:8" ht="26.25" customHeight="1">
      <c r="A11" s="403">
        <v>5</v>
      </c>
      <c r="B11" s="404" t="s">
        <v>78</v>
      </c>
      <c r="C11" s="411">
        <v>0</v>
      </c>
      <c r="D11" s="192">
        <v>0</v>
      </c>
      <c r="E11" s="193">
        <v>0</v>
      </c>
      <c r="F11" s="193">
        <v>31</v>
      </c>
      <c r="G11" s="237">
        <f t="shared" si="0"/>
        <v>31</v>
      </c>
      <c r="H11" s="412">
        <f>G11/G30</f>
        <v>0.0008501069489387375</v>
      </c>
    </row>
    <row r="12" spans="1:8" ht="15.75" customHeight="1">
      <c r="A12" s="403">
        <v>6</v>
      </c>
      <c r="B12" s="404" t="s">
        <v>79</v>
      </c>
      <c r="C12" s="413">
        <v>0</v>
      </c>
      <c r="D12" s="175">
        <v>5</v>
      </c>
      <c r="E12" s="179">
        <v>10</v>
      </c>
      <c r="F12" s="179">
        <v>4790</v>
      </c>
      <c r="G12" s="237">
        <f t="shared" si="0"/>
        <v>4805</v>
      </c>
      <c r="H12" s="412">
        <f>G12/G30</f>
        <v>0.1317665770855043</v>
      </c>
    </row>
    <row r="13" spans="1:8" ht="27.75" customHeight="1">
      <c r="A13" s="403">
        <v>7</v>
      </c>
      <c r="B13" s="404" t="s">
        <v>80</v>
      </c>
      <c r="C13" s="413">
        <v>0</v>
      </c>
      <c r="D13" s="175">
        <v>242</v>
      </c>
      <c r="E13" s="179">
        <v>20</v>
      </c>
      <c r="F13" s="179">
        <v>5524</v>
      </c>
      <c r="G13" s="237">
        <f t="shared" si="0"/>
        <v>5786</v>
      </c>
      <c r="H13" s="412">
        <f>G13/G30</f>
        <v>0.15866834859869466</v>
      </c>
    </row>
    <row r="14" spans="1:8" ht="15" customHeight="1">
      <c r="A14" s="403">
        <v>8</v>
      </c>
      <c r="B14" s="404" t="s">
        <v>81</v>
      </c>
      <c r="C14" s="413">
        <v>0</v>
      </c>
      <c r="D14" s="175">
        <v>58</v>
      </c>
      <c r="E14" s="175">
        <v>5</v>
      </c>
      <c r="F14" s="179">
        <v>1136</v>
      </c>
      <c r="G14" s="237">
        <f t="shared" si="0"/>
        <v>1199</v>
      </c>
      <c r="H14" s="412">
        <f>G14/G30</f>
        <v>0.032879942960566004</v>
      </c>
    </row>
    <row r="15" spans="1:8" ht="15" customHeight="1">
      <c r="A15" s="403">
        <v>9</v>
      </c>
      <c r="B15" s="404" t="s">
        <v>82</v>
      </c>
      <c r="C15" s="411">
        <v>0</v>
      </c>
      <c r="D15" s="192">
        <f>4156+51</f>
        <v>4207</v>
      </c>
      <c r="E15" s="193">
        <f>3659+22</f>
        <v>3681</v>
      </c>
      <c r="F15" s="193">
        <v>3010</v>
      </c>
      <c r="G15" s="237">
        <f t="shared" si="0"/>
        <v>10898</v>
      </c>
      <c r="H15" s="412">
        <f>G15/G30</f>
        <v>0.29885372675917293</v>
      </c>
    </row>
    <row r="16" spans="1:8" ht="15" customHeight="1">
      <c r="A16" s="403">
        <v>10</v>
      </c>
      <c r="B16" s="404" t="s">
        <v>83</v>
      </c>
      <c r="C16" s="411">
        <v>0</v>
      </c>
      <c r="D16" s="192">
        <v>0</v>
      </c>
      <c r="E16" s="193">
        <v>2</v>
      </c>
      <c r="F16" s="193">
        <v>373</v>
      </c>
      <c r="G16" s="237">
        <f t="shared" si="0"/>
        <v>375</v>
      </c>
      <c r="H16" s="412">
        <f>G16/G30</f>
        <v>0.010283551801678276</v>
      </c>
    </row>
    <row r="17" spans="1:8" ht="15" customHeight="1">
      <c r="A17" s="403">
        <v>11</v>
      </c>
      <c r="B17" s="404" t="s">
        <v>84</v>
      </c>
      <c r="C17" s="411">
        <v>0</v>
      </c>
      <c r="D17" s="192">
        <v>0</v>
      </c>
      <c r="E17" s="193">
        <v>0</v>
      </c>
      <c r="F17" s="179">
        <v>511</v>
      </c>
      <c r="G17" s="237">
        <f t="shared" si="0"/>
        <v>511</v>
      </c>
      <c r="H17" s="412">
        <f>G17/G30</f>
        <v>0.01401305325508693</v>
      </c>
    </row>
    <row r="18" spans="1:8" ht="15" customHeight="1">
      <c r="A18" s="403">
        <v>12</v>
      </c>
      <c r="B18" s="404" t="s">
        <v>85</v>
      </c>
      <c r="C18" s="411">
        <v>0</v>
      </c>
      <c r="D18" s="192">
        <v>2</v>
      </c>
      <c r="E18" s="193">
        <v>10</v>
      </c>
      <c r="F18" s="193">
        <v>190</v>
      </c>
      <c r="G18" s="237">
        <f t="shared" si="0"/>
        <v>202</v>
      </c>
      <c r="H18" s="412">
        <f>G18/G30</f>
        <v>0.005539406570504031</v>
      </c>
    </row>
    <row r="19" spans="1:8" ht="15" customHeight="1">
      <c r="A19" s="403">
        <v>13</v>
      </c>
      <c r="B19" s="404" t="s">
        <v>86</v>
      </c>
      <c r="C19" s="411">
        <v>0</v>
      </c>
      <c r="D19" s="192">
        <v>3</v>
      </c>
      <c r="E19" s="193">
        <v>0</v>
      </c>
      <c r="F19" s="193">
        <v>949</v>
      </c>
      <c r="G19" s="237">
        <f t="shared" si="0"/>
        <v>952</v>
      </c>
      <c r="H19" s="412">
        <f>G19/G30</f>
        <v>0.02610651017386058</v>
      </c>
    </row>
    <row r="20" spans="1:8" ht="15" customHeight="1">
      <c r="A20" s="403">
        <v>14</v>
      </c>
      <c r="B20" s="404" t="s">
        <v>87</v>
      </c>
      <c r="C20" s="411">
        <v>0</v>
      </c>
      <c r="D20" s="192">
        <v>66</v>
      </c>
      <c r="E20" s="193">
        <v>7</v>
      </c>
      <c r="F20" s="193">
        <v>776</v>
      </c>
      <c r="G20" s="237">
        <f t="shared" si="0"/>
        <v>849</v>
      </c>
      <c r="H20" s="412">
        <f>G20/G30</f>
        <v>0.023281961278999615</v>
      </c>
    </row>
    <row r="21" spans="1:8" ht="15" customHeight="1">
      <c r="A21" s="405">
        <v>15</v>
      </c>
      <c r="B21" s="404" t="s">
        <v>88</v>
      </c>
      <c r="C21" s="411">
        <v>0</v>
      </c>
      <c r="D21" s="192">
        <v>16</v>
      </c>
      <c r="E21" s="193">
        <v>0</v>
      </c>
      <c r="F21" s="193">
        <v>3124</v>
      </c>
      <c r="G21" s="237">
        <f t="shared" si="0"/>
        <v>3140</v>
      </c>
      <c r="H21" s="412">
        <f>G21/G30</f>
        <v>0.08610760708605276</v>
      </c>
    </row>
    <row r="22" spans="1:8" ht="15" customHeight="1">
      <c r="A22" s="403">
        <v>16</v>
      </c>
      <c r="B22" s="404" t="s">
        <v>89</v>
      </c>
      <c r="C22" s="411">
        <v>0</v>
      </c>
      <c r="D22" s="192">
        <v>8</v>
      </c>
      <c r="E22" s="193"/>
      <c r="F22" s="193">
        <v>586</v>
      </c>
      <c r="G22" s="237">
        <f t="shared" si="0"/>
        <v>594</v>
      </c>
      <c r="H22" s="412">
        <f>G22/G30</f>
        <v>0.016289146053858387</v>
      </c>
    </row>
    <row r="23" spans="1:8" ht="15" customHeight="1">
      <c r="A23" s="405">
        <v>17</v>
      </c>
      <c r="B23" s="404" t="s">
        <v>90</v>
      </c>
      <c r="C23" s="411">
        <v>0</v>
      </c>
      <c r="D23" s="192">
        <v>1</v>
      </c>
      <c r="E23" s="193">
        <v>0</v>
      </c>
      <c r="F23" s="193">
        <v>332</v>
      </c>
      <c r="G23" s="237">
        <f t="shared" si="0"/>
        <v>333</v>
      </c>
      <c r="H23" s="412">
        <f>G23/G30</f>
        <v>0.009131793999890309</v>
      </c>
    </row>
    <row r="24" spans="1:8" ht="15" customHeight="1">
      <c r="A24" s="403">
        <v>18</v>
      </c>
      <c r="B24" s="406" t="s">
        <v>91</v>
      </c>
      <c r="C24" s="411">
        <v>0</v>
      </c>
      <c r="D24" s="192">
        <v>59</v>
      </c>
      <c r="E24" s="193">
        <v>7</v>
      </c>
      <c r="F24" s="193">
        <v>417</v>
      </c>
      <c r="G24" s="237">
        <f t="shared" si="0"/>
        <v>483</v>
      </c>
      <c r="H24" s="412">
        <f>G24/G30</f>
        <v>0.013245214720561619</v>
      </c>
    </row>
    <row r="25" spans="1:8" ht="15" customHeight="1">
      <c r="A25" s="403">
        <v>19</v>
      </c>
      <c r="B25" s="406" t="s">
        <v>92</v>
      </c>
      <c r="C25" s="411">
        <v>0</v>
      </c>
      <c r="D25" s="192">
        <v>39</v>
      </c>
      <c r="E25" s="193">
        <v>12</v>
      </c>
      <c r="F25" s="193">
        <v>461</v>
      </c>
      <c r="G25" s="237">
        <f t="shared" si="0"/>
        <v>512</v>
      </c>
      <c r="H25" s="412">
        <f>G25/G30</f>
        <v>0.014040476059891406</v>
      </c>
    </row>
    <row r="26" spans="1:8" ht="36.75" customHeight="1">
      <c r="A26" s="405">
        <v>20</v>
      </c>
      <c r="B26" s="406" t="s">
        <v>93</v>
      </c>
      <c r="C26" s="411">
        <v>0</v>
      </c>
      <c r="D26" s="192">
        <v>0</v>
      </c>
      <c r="E26" s="193">
        <v>1</v>
      </c>
      <c r="F26" s="193">
        <v>50</v>
      </c>
      <c r="G26" s="237">
        <f t="shared" si="0"/>
        <v>51</v>
      </c>
      <c r="H26" s="412">
        <f>G26/G30</f>
        <v>0.0013985630450282455</v>
      </c>
    </row>
    <row r="27" spans="1:8" ht="15" customHeight="1">
      <c r="A27" s="403">
        <v>21</v>
      </c>
      <c r="B27" s="406" t="s">
        <v>94</v>
      </c>
      <c r="C27" s="411">
        <v>0</v>
      </c>
      <c r="D27" s="192">
        <v>0</v>
      </c>
      <c r="E27" s="193">
        <v>0</v>
      </c>
      <c r="F27" s="193">
        <v>20</v>
      </c>
      <c r="G27" s="237">
        <f t="shared" si="0"/>
        <v>20</v>
      </c>
      <c r="H27" s="412">
        <f>G27/G30</f>
        <v>0.000548456096089508</v>
      </c>
    </row>
    <row r="28" spans="1:8" ht="15" customHeight="1">
      <c r="A28" s="403">
        <v>22</v>
      </c>
      <c r="B28" s="407" t="s">
        <v>95</v>
      </c>
      <c r="C28" s="411">
        <v>0</v>
      </c>
      <c r="D28" s="192">
        <v>0</v>
      </c>
      <c r="E28" s="193">
        <v>0</v>
      </c>
      <c r="F28" s="193">
        <v>2651</v>
      </c>
      <c r="G28" s="237">
        <f t="shared" si="0"/>
        <v>2651</v>
      </c>
      <c r="H28" s="412">
        <f>G28/G30</f>
        <v>0.07269785553666429</v>
      </c>
    </row>
    <row r="29" spans="1:8" ht="15" customHeight="1" thickBot="1">
      <c r="A29" s="423">
        <v>23</v>
      </c>
      <c r="B29" s="408" t="s">
        <v>96</v>
      </c>
      <c r="C29" s="414">
        <v>0</v>
      </c>
      <c r="D29" s="196">
        <v>0</v>
      </c>
      <c r="E29" s="197">
        <v>0</v>
      </c>
      <c r="F29" s="197">
        <v>7</v>
      </c>
      <c r="G29" s="237">
        <f t="shared" si="0"/>
        <v>7</v>
      </c>
      <c r="H29" s="488">
        <f>G29/G30</f>
        <v>0.0001919596336313278</v>
      </c>
    </row>
    <row r="30" spans="1:8" ht="15" customHeight="1" thickBot="1">
      <c r="A30" s="424"/>
      <c r="B30" s="410" t="s">
        <v>6</v>
      </c>
      <c r="C30" s="415">
        <f>SUM(C7:C29)</f>
        <v>141</v>
      </c>
      <c r="D30" s="198">
        <f>SUM(D7:D29)</f>
        <v>4706</v>
      </c>
      <c r="E30" s="198">
        <f>SUM(E7:E29)</f>
        <v>3755</v>
      </c>
      <c r="F30" s="198">
        <f>SUM(F7:F29)</f>
        <v>27864</v>
      </c>
      <c r="G30" s="199">
        <f>SUM(G7:G29)</f>
        <v>36466</v>
      </c>
      <c r="H30" s="486">
        <f>G30/G30</f>
        <v>1</v>
      </c>
    </row>
    <row r="31" spans="1:7" ht="12.75">
      <c r="A31" s="207"/>
      <c r="B31" s="208"/>
      <c r="C31" s="209"/>
      <c r="D31" s="209"/>
      <c r="E31" s="209"/>
      <c r="F31" s="209"/>
      <c r="G31" s="209"/>
    </row>
    <row r="32" spans="1:7" ht="12.75">
      <c r="A32" s="75" t="s">
        <v>107</v>
      </c>
      <c r="B32" s="75"/>
      <c r="C32" s="75"/>
      <c r="D32" s="75"/>
      <c r="E32" s="75"/>
      <c r="F32" s="211" t="s">
        <v>15</v>
      </c>
      <c r="G32" s="75"/>
    </row>
    <row r="33" spans="1:7" ht="12.75">
      <c r="A33" s="578">
        <v>41334</v>
      </c>
      <c r="B33" s="578"/>
      <c r="C33" s="75"/>
      <c r="D33" s="75"/>
      <c r="E33" s="75"/>
      <c r="F33" s="211" t="s">
        <v>97</v>
      </c>
      <c r="G33" s="75"/>
    </row>
  </sheetData>
  <sheetProtection/>
  <mergeCells count="9">
    <mergeCell ref="I5:I6"/>
    <mergeCell ref="H5:H6"/>
    <mergeCell ref="C4:H4"/>
    <mergeCell ref="A33:B33"/>
    <mergeCell ref="A2:G2"/>
    <mergeCell ref="C5:D5"/>
    <mergeCell ref="E5:F5"/>
    <mergeCell ref="G5:G6"/>
    <mergeCell ref="A3:C3"/>
  </mergeCells>
  <printOptions/>
  <pageMargins left="0.7086614173228347" right="0.7086614173228347" top="0.35433070866141736" bottom="0.35433070866141736"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33"/>
  <sheetViews>
    <sheetView zoomScalePageLayoutView="0" workbookViewId="0" topLeftCell="A13">
      <selection activeCell="B16" sqref="B16"/>
    </sheetView>
  </sheetViews>
  <sheetFormatPr defaultColWidth="9.140625" defaultRowHeight="12.75"/>
  <cols>
    <col min="1" max="1" width="5.57421875" style="0" customWidth="1"/>
    <col min="2" max="2" width="61.28125" style="0" customWidth="1"/>
    <col min="3" max="3" width="12.421875" style="0" customWidth="1"/>
    <col min="4" max="4" width="11.7109375" style="0" customWidth="1"/>
    <col min="5" max="5" width="12.00390625" style="0" customWidth="1"/>
    <col min="6" max="6" width="11.421875" style="0" customWidth="1"/>
    <col min="7" max="7" width="12.7109375" style="0" customWidth="1"/>
    <col min="8" max="8" width="10.421875" style="0" customWidth="1"/>
  </cols>
  <sheetData>
    <row r="1" ht="12.75">
      <c r="A1" s="287" t="s">
        <v>132</v>
      </c>
    </row>
    <row r="2" spans="1:8" ht="27" customHeight="1">
      <c r="A2" s="579" t="s">
        <v>109</v>
      </c>
      <c r="B2" s="579"/>
      <c r="C2" s="579"/>
      <c r="D2" s="579"/>
      <c r="E2" s="579"/>
      <c r="F2" s="579"/>
      <c r="G2" s="579"/>
      <c r="H2" s="579"/>
    </row>
    <row r="3" spans="1:3" ht="9" customHeight="1" thickBot="1">
      <c r="A3" s="586"/>
      <c r="B3" s="586"/>
      <c r="C3" s="586"/>
    </row>
    <row r="4" spans="1:8" ht="15" customHeight="1">
      <c r="A4" s="398"/>
      <c r="B4" s="399"/>
      <c r="C4" s="590" t="s">
        <v>66</v>
      </c>
      <c r="D4" s="591"/>
      <c r="E4" s="591"/>
      <c r="F4" s="591"/>
      <c r="G4" s="591"/>
      <c r="H4" s="587" t="s">
        <v>110</v>
      </c>
    </row>
    <row r="5" spans="1:8" ht="15" customHeight="1">
      <c r="A5" s="400" t="s">
        <v>67</v>
      </c>
      <c r="B5" s="401" t="s">
        <v>68</v>
      </c>
      <c r="C5" s="592" t="s">
        <v>69</v>
      </c>
      <c r="D5" s="593"/>
      <c r="E5" s="594" t="s">
        <v>70</v>
      </c>
      <c r="F5" s="594"/>
      <c r="G5" s="595" t="s">
        <v>6</v>
      </c>
      <c r="H5" s="588"/>
    </row>
    <row r="6" spans="1:8" ht="15" customHeight="1" thickBot="1">
      <c r="A6" s="402"/>
      <c r="B6" s="431"/>
      <c r="C6" s="422" t="s">
        <v>71</v>
      </c>
      <c r="D6" s="318" t="s">
        <v>72</v>
      </c>
      <c r="E6" s="318" t="s">
        <v>72</v>
      </c>
      <c r="F6" s="318" t="s">
        <v>73</v>
      </c>
      <c r="G6" s="596"/>
      <c r="H6" s="589"/>
    </row>
    <row r="7" spans="1:8" ht="15" customHeight="1">
      <c r="A7" s="403">
        <v>1</v>
      </c>
      <c r="B7" s="429" t="s">
        <v>74</v>
      </c>
      <c r="C7" s="420">
        <v>0</v>
      </c>
      <c r="D7" s="240">
        <v>0</v>
      </c>
      <c r="E7" s="265">
        <v>0</v>
      </c>
      <c r="F7" s="265">
        <v>159</v>
      </c>
      <c r="G7" s="240">
        <f>C7+D7+E7+F7</f>
        <v>159</v>
      </c>
      <c r="H7" s="421">
        <f>G7/G30</f>
        <v>0.004390930932589545</v>
      </c>
    </row>
    <row r="8" spans="1:8" ht="15" customHeight="1">
      <c r="A8" s="403">
        <v>2</v>
      </c>
      <c r="B8" s="404" t="s">
        <v>75</v>
      </c>
      <c r="C8" s="394">
        <v>0</v>
      </c>
      <c r="D8" s="192">
        <v>0</v>
      </c>
      <c r="E8" s="193">
        <v>0</v>
      </c>
      <c r="F8" s="193">
        <v>57</v>
      </c>
      <c r="G8" s="237">
        <f aca="true" t="shared" si="0" ref="G8:G29">C8+D8+E8+F8</f>
        <v>57</v>
      </c>
      <c r="H8" s="246">
        <f>G8/G30</f>
        <v>0.0015741073154566293</v>
      </c>
    </row>
    <row r="9" spans="1:8" ht="15" customHeight="1">
      <c r="A9" s="403">
        <v>3</v>
      </c>
      <c r="B9" s="404" t="s">
        <v>76</v>
      </c>
      <c r="C9" s="394">
        <v>169</v>
      </c>
      <c r="D9" s="192">
        <v>0</v>
      </c>
      <c r="E9" s="193">
        <v>0</v>
      </c>
      <c r="F9" s="193">
        <v>2703</v>
      </c>
      <c r="G9" s="237">
        <f t="shared" si="0"/>
        <v>2872</v>
      </c>
      <c r="H9" s="246">
        <f>G9/G30</f>
        <v>0.07931291596476209</v>
      </c>
    </row>
    <row r="10" spans="1:8" ht="15.75" customHeight="1">
      <c r="A10" s="403">
        <v>4</v>
      </c>
      <c r="B10" s="404" t="s">
        <v>77</v>
      </c>
      <c r="C10" s="395">
        <v>0</v>
      </c>
      <c r="D10" s="194">
        <v>0</v>
      </c>
      <c r="E10" s="195">
        <v>0</v>
      </c>
      <c r="F10" s="179">
        <v>17</v>
      </c>
      <c r="G10" s="237">
        <f t="shared" si="0"/>
        <v>17</v>
      </c>
      <c r="H10" s="246">
        <f>G10/G30</f>
        <v>0.0004694706028554859</v>
      </c>
    </row>
    <row r="11" spans="1:8" ht="24.75" customHeight="1">
      <c r="A11" s="403">
        <v>5</v>
      </c>
      <c r="B11" s="404" t="s">
        <v>78</v>
      </c>
      <c r="C11" s="394">
        <v>0</v>
      </c>
      <c r="D11" s="192">
        <v>0</v>
      </c>
      <c r="E11" s="193">
        <v>0</v>
      </c>
      <c r="F11" s="193">
        <v>27</v>
      </c>
      <c r="G11" s="237">
        <f t="shared" si="0"/>
        <v>27</v>
      </c>
      <c r="H11" s="246">
        <f>G11/G30</f>
        <v>0.0007456297810057717</v>
      </c>
    </row>
    <row r="12" spans="1:8" ht="15" customHeight="1">
      <c r="A12" s="403">
        <v>6</v>
      </c>
      <c r="B12" s="419" t="s">
        <v>79</v>
      </c>
      <c r="C12" s="395">
        <v>0</v>
      </c>
      <c r="D12" s="194">
        <v>5</v>
      </c>
      <c r="E12" s="195">
        <v>8</v>
      </c>
      <c r="F12" s="195">
        <v>4710</v>
      </c>
      <c r="G12" s="238">
        <f t="shared" si="0"/>
        <v>4723</v>
      </c>
      <c r="H12" s="247">
        <f>G12/G30</f>
        <v>0.13042997984038</v>
      </c>
    </row>
    <row r="13" spans="1:8" ht="25.5" customHeight="1">
      <c r="A13" s="403">
        <v>7</v>
      </c>
      <c r="B13" s="419" t="s">
        <v>80</v>
      </c>
      <c r="C13" s="395">
        <v>0</v>
      </c>
      <c r="D13" s="194">
        <v>251</v>
      </c>
      <c r="E13" s="195">
        <v>21</v>
      </c>
      <c r="F13" s="195">
        <v>5726</v>
      </c>
      <c r="G13" s="238">
        <f t="shared" si="0"/>
        <v>5998</v>
      </c>
      <c r="H13" s="247">
        <f>G13/G30</f>
        <v>0.16564027505454143</v>
      </c>
    </row>
    <row r="14" spans="1:8" ht="15" customHeight="1">
      <c r="A14" s="403">
        <v>8</v>
      </c>
      <c r="B14" s="404" t="s">
        <v>81</v>
      </c>
      <c r="C14" s="395">
        <v>0</v>
      </c>
      <c r="D14" s="175">
        <v>59</v>
      </c>
      <c r="E14" s="175">
        <v>5</v>
      </c>
      <c r="F14" s="179">
        <v>1115</v>
      </c>
      <c r="G14" s="237">
        <f t="shared" si="0"/>
        <v>1179</v>
      </c>
      <c r="H14" s="246">
        <f>G14/G30</f>
        <v>0.0325591671039187</v>
      </c>
    </row>
    <row r="15" spans="1:8" ht="24.75" customHeight="1">
      <c r="A15" s="403">
        <v>9</v>
      </c>
      <c r="B15" s="419" t="s">
        <v>82</v>
      </c>
      <c r="C15" s="395">
        <v>0</v>
      </c>
      <c r="D15" s="194">
        <v>4351</v>
      </c>
      <c r="E15" s="195">
        <f>22+3568</f>
        <v>3590</v>
      </c>
      <c r="F15" s="195">
        <v>3014</v>
      </c>
      <c r="G15" s="238">
        <f t="shared" si="0"/>
        <v>10955</v>
      </c>
      <c r="H15" s="247">
        <f>G15/G30</f>
        <v>0.3025323796636381</v>
      </c>
    </row>
    <row r="16" spans="1:8" ht="15" customHeight="1">
      <c r="A16" s="403">
        <v>10</v>
      </c>
      <c r="B16" s="404" t="s">
        <v>83</v>
      </c>
      <c r="C16" s="394">
        <v>0</v>
      </c>
      <c r="D16" s="192">
        <v>0</v>
      </c>
      <c r="E16" s="193">
        <v>2</v>
      </c>
      <c r="F16" s="193">
        <v>369</v>
      </c>
      <c r="G16" s="237">
        <f t="shared" si="0"/>
        <v>371</v>
      </c>
      <c r="H16" s="246">
        <f>G16/G30</f>
        <v>0.010245505509375604</v>
      </c>
    </row>
    <row r="17" spans="1:8" ht="15" customHeight="1">
      <c r="A17" s="403">
        <v>11</v>
      </c>
      <c r="B17" s="404" t="s">
        <v>84</v>
      </c>
      <c r="C17" s="394">
        <v>0</v>
      </c>
      <c r="D17" s="192">
        <v>0</v>
      </c>
      <c r="E17" s="193">
        <v>0</v>
      </c>
      <c r="F17" s="179">
        <v>682</v>
      </c>
      <c r="G17" s="237">
        <f t="shared" si="0"/>
        <v>682</v>
      </c>
      <c r="H17" s="246">
        <f>G17/G30</f>
        <v>0.018834055949849493</v>
      </c>
    </row>
    <row r="18" spans="1:8" ht="15" customHeight="1">
      <c r="A18" s="403">
        <v>12</v>
      </c>
      <c r="B18" s="404" t="s">
        <v>85</v>
      </c>
      <c r="C18" s="394">
        <v>0</v>
      </c>
      <c r="D18" s="192">
        <v>2</v>
      </c>
      <c r="E18" s="193">
        <v>12</v>
      </c>
      <c r="F18" s="193">
        <v>187</v>
      </c>
      <c r="G18" s="237">
        <f t="shared" si="0"/>
        <v>201</v>
      </c>
      <c r="H18" s="246">
        <f>G18/G30</f>
        <v>0.005550799480820745</v>
      </c>
    </row>
    <row r="19" spans="1:8" ht="15" customHeight="1">
      <c r="A19" s="403">
        <v>13</v>
      </c>
      <c r="B19" s="404" t="s">
        <v>86</v>
      </c>
      <c r="C19" s="394">
        <v>0</v>
      </c>
      <c r="D19" s="192">
        <v>3</v>
      </c>
      <c r="E19" s="193">
        <v>0</v>
      </c>
      <c r="F19" s="193">
        <v>955</v>
      </c>
      <c r="G19" s="237">
        <f t="shared" si="0"/>
        <v>958</v>
      </c>
      <c r="H19" s="246">
        <f>G19/G30</f>
        <v>0.02645604926679738</v>
      </c>
    </row>
    <row r="20" spans="1:8" ht="15" customHeight="1">
      <c r="A20" s="403">
        <v>14</v>
      </c>
      <c r="B20" s="404" t="s">
        <v>87</v>
      </c>
      <c r="C20" s="394">
        <v>0</v>
      </c>
      <c r="D20" s="192">
        <v>69</v>
      </c>
      <c r="E20" s="193">
        <v>7</v>
      </c>
      <c r="F20" s="193">
        <v>751</v>
      </c>
      <c r="G20" s="237">
        <f t="shared" si="0"/>
        <v>827</v>
      </c>
      <c r="H20" s="246">
        <f>G20/G30</f>
        <v>0.02283836403302864</v>
      </c>
    </row>
    <row r="21" spans="1:8" ht="15" customHeight="1">
      <c r="A21" s="405">
        <v>15</v>
      </c>
      <c r="B21" s="404" t="s">
        <v>88</v>
      </c>
      <c r="C21" s="394">
        <v>0</v>
      </c>
      <c r="D21" s="192">
        <v>16</v>
      </c>
      <c r="E21" s="193">
        <v>0</v>
      </c>
      <c r="F21" s="193">
        <v>2759</v>
      </c>
      <c r="G21" s="237">
        <f t="shared" si="0"/>
        <v>2775</v>
      </c>
      <c r="H21" s="246">
        <f>G21/G30</f>
        <v>0.07663417193670431</v>
      </c>
    </row>
    <row r="22" spans="1:8" ht="15" customHeight="1">
      <c r="A22" s="403">
        <v>16</v>
      </c>
      <c r="B22" s="404" t="s">
        <v>89</v>
      </c>
      <c r="C22" s="394">
        <v>0</v>
      </c>
      <c r="D22" s="192">
        <v>9</v>
      </c>
      <c r="E22" s="193"/>
      <c r="F22" s="193">
        <v>413</v>
      </c>
      <c r="G22" s="237">
        <f t="shared" si="0"/>
        <v>422</v>
      </c>
      <c r="H22" s="246">
        <f>G22/G30</f>
        <v>0.011653917317942061</v>
      </c>
    </row>
    <row r="23" spans="1:8" ht="24" customHeight="1">
      <c r="A23" s="405">
        <v>17</v>
      </c>
      <c r="B23" s="404" t="s">
        <v>90</v>
      </c>
      <c r="C23" s="394">
        <v>0</v>
      </c>
      <c r="D23" s="192">
        <v>1</v>
      </c>
      <c r="E23" s="193">
        <v>0</v>
      </c>
      <c r="F23" s="193">
        <v>333</v>
      </c>
      <c r="G23" s="237">
        <f t="shared" si="0"/>
        <v>334</v>
      </c>
      <c r="H23" s="246">
        <f>G23/G30</f>
        <v>0.009223716550219547</v>
      </c>
    </row>
    <row r="24" spans="1:8" ht="15" customHeight="1">
      <c r="A24" s="403">
        <v>18</v>
      </c>
      <c r="B24" s="406" t="s">
        <v>91</v>
      </c>
      <c r="C24" s="394">
        <v>0</v>
      </c>
      <c r="D24" s="192">
        <v>60</v>
      </c>
      <c r="E24" s="193">
        <v>7</v>
      </c>
      <c r="F24" s="193">
        <v>414</v>
      </c>
      <c r="G24" s="237">
        <f t="shared" si="0"/>
        <v>481</v>
      </c>
      <c r="H24" s="246">
        <f>G24/G30</f>
        <v>0.013283256469028748</v>
      </c>
    </row>
    <row r="25" spans="1:8" ht="15" customHeight="1">
      <c r="A25" s="403">
        <v>19</v>
      </c>
      <c r="B25" s="406" t="s">
        <v>92</v>
      </c>
      <c r="C25" s="394">
        <v>0</v>
      </c>
      <c r="D25" s="192">
        <v>30</v>
      </c>
      <c r="E25" s="193">
        <v>11</v>
      </c>
      <c r="F25" s="193">
        <v>474</v>
      </c>
      <c r="G25" s="237">
        <f t="shared" si="0"/>
        <v>515</v>
      </c>
      <c r="H25" s="246">
        <f>G25/G30</f>
        <v>0.01422219767473972</v>
      </c>
    </row>
    <row r="26" spans="1:8" ht="39" customHeight="1">
      <c r="A26" s="405">
        <v>20</v>
      </c>
      <c r="B26" s="406" t="s">
        <v>93</v>
      </c>
      <c r="C26" s="394">
        <v>0</v>
      </c>
      <c r="D26" s="192">
        <v>0</v>
      </c>
      <c r="E26" s="193">
        <v>1</v>
      </c>
      <c r="F26" s="193">
        <v>51</v>
      </c>
      <c r="G26" s="237">
        <f t="shared" si="0"/>
        <v>52</v>
      </c>
      <c r="H26" s="246">
        <f>G26/G30</f>
        <v>0.0014360277263814863</v>
      </c>
    </row>
    <row r="27" spans="1:8" ht="15" customHeight="1">
      <c r="A27" s="403">
        <v>21</v>
      </c>
      <c r="B27" s="406" t="s">
        <v>94</v>
      </c>
      <c r="C27" s="394">
        <v>0</v>
      </c>
      <c r="D27" s="192">
        <v>0</v>
      </c>
      <c r="E27" s="193">
        <v>0</v>
      </c>
      <c r="F27" s="193">
        <v>17</v>
      </c>
      <c r="G27" s="237">
        <f t="shared" si="0"/>
        <v>17</v>
      </c>
      <c r="H27" s="246">
        <f>G27/G30</f>
        <v>0.0004694706028554859</v>
      </c>
    </row>
    <row r="28" spans="1:8" ht="15" customHeight="1">
      <c r="A28" s="403">
        <v>22</v>
      </c>
      <c r="B28" s="407" t="s">
        <v>95</v>
      </c>
      <c r="C28" s="394">
        <v>0</v>
      </c>
      <c r="D28" s="192">
        <v>0</v>
      </c>
      <c r="E28" s="193">
        <v>0</v>
      </c>
      <c r="F28" s="193">
        <v>2580</v>
      </c>
      <c r="G28" s="237">
        <f t="shared" si="0"/>
        <v>2580</v>
      </c>
      <c r="H28" s="246">
        <f>G28/G30</f>
        <v>0.07124906796277375</v>
      </c>
    </row>
    <row r="29" spans="1:8" ht="15" customHeight="1" thickBot="1">
      <c r="A29" s="423">
        <v>23</v>
      </c>
      <c r="B29" s="408" t="s">
        <v>96</v>
      </c>
      <c r="C29" s="396">
        <v>0</v>
      </c>
      <c r="D29" s="196">
        <v>0</v>
      </c>
      <c r="E29" s="197">
        <v>0</v>
      </c>
      <c r="F29" s="197">
        <v>9</v>
      </c>
      <c r="G29" s="248">
        <f t="shared" si="0"/>
        <v>9</v>
      </c>
      <c r="H29" s="249">
        <f>G29/G30</f>
        <v>0.00024854326033525725</v>
      </c>
    </row>
    <row r="30" spans="1:8" ht="15" customHeight="1" thickBot="1">
      <c r="A30" s="424"/>
      <c r="B30" s="410" t="s">
        <v>6</v>
      </c>
      <c r="C30" s="397">
        <f aca="true" t="shared" si="1" ref="C30:H30">SUM(C7:C29)</f>
        <v>169</v>
      </c>
      <c r="D30" s="198">
        <f t="shared" si="1"/>
        <v>4856</v>
      </c>
      <c r="E30" s="198">
        <f t="shared" si="1"/>
        <v>3664</v>
      </c>
      <c r="F30" s="198">
        <f t="shared" si="1"/>
        <v>27522</v>
      </c>
      <c r="G30" s="239">
        <f t="shared" si="1"/>
        <v>36211</v>
      </c>
      <c r="H30" s="250">
        <f t="shared" si="1"/>
        <v>1.0000000000000002</v>
      </c>
    </row>
    <row r="31" spans="1:7" ht="12.75">
      <c r="A31" s="207"/>
      <c r="B31" s="208"/>
      <c r="C31" s="209"/>
      <c r="D31" s="209"/>
      <c r="E31" s="209"/>
      <c r="F31" s="209"/>
      <c r="G31" s="209"/>
    </row>
    <row r="32" spans="1:7" ht="12.75">
      <c r="A32" s="75" t="s">
        <v>107</v>
      </c>
      <c r="B32" s="75"/>
      <c r="C32" s="75"/>
      <c r="D32" s="75"/>
      <c r="E32" s="75"/>
      <c r="F32" s="211" t="s">
        <v>15</v>
      </c>
      <c r="G32" s="75"/>
    </row>
    <row r="33" spans="1:7" ht="12.75">
      <c r="A33" s="578">
        <v>41366</v>
      </c>
      <c r="B33" s="578"/>
      <c r="C33" s="75"/>
      <c r="D33" s="75"/>
      <c r="E33" s="75"/>
      <c r="F33" s="211" t="s">
        <v>97</v>
      </c>
      <c r="G33" s="75"/>
    </row>
  </sheetData>
  <sheetProtection/>
  <mergeCells count="8">
    <mergeCell ref="A33:B33"/>
    <mergeCell ref="H4:H6"/>
    <mergeCell ref="A2:H2"/>
    <mergeCell ref="A3:C3"/>
    <mergeCell ref="C4:G4"/>
    <mergeCell ref="C5:D5"/>
    <mergeCell ref="E5:F5"/>
    <mergeCell ref="G5:G6"/>
  </mergeCells>
  <printOptions/>
  <pageMargins left="0.31496062992125984" right="0.1968503937007874" top="0.35433070866141736" bottom="0.35433070866141736"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H33"/>
  <sheetViews>
    <sheetView zoomScalePageLayoutView="0" workbookViewId="0" topLeftCell="A1">
      <selection activeCell="B15" sqref="B15"/>
    </sheetView>
  </sheetViews>
  <sheetFormatPr defaultColWidth="9.140625" defaultRowHeight="12.75"/>
  <cols>
    <col min="1" max="1" width="4.8515625" style="0" customWidth="1"/>
    <col min="2" max="2" width="47.140625" style="0" customWidth="1"/>
    <col min="3" max="8" width="12.7109375" style="0" customWidth="1"/>
  </cols>
  <sheetData>
    <row r="1" ht="12.75">
      <c r="A1" s="287" t="s">
        <v>133</v>
      </c>
    </row>
    <row r="2" spans="1:8" ht="28.5" customHeight="1">
      <c r="A2" s="579" t="s">
        <v>111</v>
      </c>
      <c r="B2" s="579"/>
      <c r="C2" s="579"/>
      <c r="D2" s="579"/>
      <c r="E2" s="579"/>
      <c r="F2" s="579"/>
      <c r="G2" s="579"/>
      <c r="H2" s="579"/>
    </row>
    <row r="3" spans="1:3" ht="11.25" customHeight="1" thickBot="1">
      <c r="A3" s="586"/>
      <c r="B3" s="586"/>
      <c r="C3" s="586"/>
    </row>
    <row r="4" spans="1:8" ht="15" customHeight="1">
      <c r="A4" s="241"/>
      <c r="B4" s="399"/>
      <c r="C4" s="597" t="s">
        <v>66</v>
      </c>
      <c r="D4" s="591"/>
      <c r="E4" s="591"/>
      <c r="F4" s="591"/>
      <c r="G4" s="591"/>
      <c r="H4" s="587" t="s">
        <v>110</v>
      </c>
    </row>
    <row r="5" spans="1:8" ht="15" customHeight="1">
      <c r="A5" s="242" t="s">
        <v>67</v>
      </c>
      <c r="B5" s="401" t="s">
        <v>68</v>
      </c>
      <c r="C5" s="581" t="s">
        <v>69</v>
      </c>
      <c r="D5" s="593"/>
      <c r="E5" s="594" t="s">
        <v>70</v>
      </c>
      <c r="F5" s="594"/>
      <c r="G5" s="595" t="s">
        <v>6</v>
      </c>
      <c r="H5" s="588"/>
    </row>
    <row r="6" spans="1:8" ht="25.5" customHeight="1" thickBot="1">
      <c r="A6" s="243"/>
      <c r="B6" s="431"/>
      <c r="C6" s="489" t="s">
        <v>71</v>
      </c>
      <c r="D6" s="318" t="s">
        <v>72</v>
      </c>
      <c r="E6" s="318" t="s">
        <v>72</v>
      </c>
      <c r="F6" s="318" t="s">
        <v>73</v>
      </c>
      <c r="G6" s="596"/>
      <c r="H6" s="589"/>
    </row>
    <row r="7" spans="1:8" ht="15" customHeight="1">
      <c r="A7" s="244">
        <v>1</v>
      </c>
      <c r="B7" s="429" t="s">
        <v>74</v>
      </c>
      <c r="C7" s="420">
        <v>0</v>
      </c>
      <c r="D7" s="240">
        <v>0</v>
      </c>
      <c r="E7" s="265">
        <v>0</v>
      </c>
      <c r="F7" s="265">
        <v>159</v>
      </c>
      <c r="G7" s="240">
        <f>C7+D7+E7+F7</f>
        <v>159</v>
      </c>
      <c r="H7" s="421">
        <f>G7/G30</f>
        <v>0.004512686609524891</v>
      </c>
    </row>
    <row r="8" spans="1:8" ht="15" customHeight="1">
      <c r="A8" s="244">
        <v>2</v>
      </c>
      <c r="B8" s="404" t="s">
        <v>75</v>
      </c>
      <c r="C8" s="394">
        <v>0</v>
      </c>
      <c r="D8" s="192">
        <v>0</v>
      </c>
      <c r="E8" s="193">
        <v>0</v>
      </c>
      <c r="F8" s="193">
        <v>58</v>
      </c>
      <c r="G8" s="237">
        <f aca="true" t="shared" si="0" ref="G8:G29">C8+D8+E8+F8</f>
        <v>58</v>
      </c>
      <c r="H8" s="246">
        <f>G8/G30</f>
        <v>0.0016461372537889538</v>
      </c>
    </row>
    <row r="9" spans="1:8" ht="15" customHeight="1">
      <c r="A9" s="244">
        <v>3</v>
      </c>
      <c r="B9" s="404" t="s">
        <v>76</v>
      </c>
      <c r="C9" s="394">
        <v>103</v>
      </c>
      <c r="D9" s="192">
        <v>0</v>
      </c>
      <c r="E9" s="193">
        <v>0</v>
      </c>
      <c r="F9" s="193">
        <v>2762</v>
      </c>
      <c r="G9" s="237">
        <f t="shared" si="0"/>
        <v>2865</v>
      </c>
      <c r="H9" s="246">
        <f>G9/G30</f>
        <v>0.08131350400181643</v>
      </c>
    </row>
    <row r="10" spans="1:8" ht="14.25" customHeight="1">
      <c r="A10" s="244">
        <v>4</v>
      </c>
      <c r="B10" s="404" t="s">
        <v>77</v>
      </c>
      <c r="C10" s="395">
        <v>0</v>
      </c>
      <c r="D10" s="194">
        <v>0</v>
      </c>
      <c r="E10" s="195">
        <v>0</v>
      </c>
      <c r="F10" s="179">
        <v>17</v>
      </c>
      <c r="G10" s="237">
        <f t="shared" si="0"/>
        <v>17</v>
      </c>
      <c r="H10" s="246">
        <f>G10/G30</f>
        <v>0.0004824885054209003</v>
      </c>
    </row>
    <row r="11" spans="1:8" ht="27.75" customHeight="1">
      <c r="A11" s="244">
        <v>5</v>
      </c>
      <c r="B11" s="404" t="s">
        <v>78</v>
      </c>
      <c r="C11" s="394">
        <v>0</v>
      </c>
      <c r="D11" s="192">
        <v>0</v>
      </c>
      <c r="E11" s="193">
        <v>0</v>
      </c>
      <c r="F11" s="193">
        <v>23</v>
      </c>
      <c r="G11" s="237">
        <f t="shared" si="0"/>
        <v>23</v>
      </c>
      <c r="H11" s="246">
        <f>G11/G30</f>
        <v>0.0006527785661576886</v>
      </c>
    </row>
    <row r="12" spans="1:8" ht="15" customHeight="1">
      <c r="A12" s="244">
        <v>6</v>
      </c>
      <c r="B12" s="419" t="s">
        <v>79</v>
      </c>
      <c r="C12" s="395">
        <v>0</v>
      </c>
      <c r="D12" s="194">
        <v>5</v>
      </c>
      <c r="E12" s="195">
        <v>8</v>
      </c>
      <c r="F12" s="195">
        <v>4668</v>
      </c>
      <c r="G12" s="238">
        <f t="shared" si="0"/>
        <v>4681</v>
      </c>
      <c r="H12" s="247">
        <f>G12/G30</f>
        <v>0.13285462905148437</v>
      </c>
    </row>
    <row r="13" spans="1:8" ht="27.75" customHeight="1">
      <c r="A13" s="244">
        <v>7</v>
      </c>
      <c r="B13" s="419" t="s">
        <v>80</v>
      </c>
      <c r="C13" s="395">
        <v>0</v>
      </c>
      <c r="D13" s="194">
        <v>244</v>
      </c>
      <c r="E13" s="195">
        <v>21</v>
      </c>
      <c r="F13" s="195">
        <v>5979</v>
      </c>
      <c r="G13" s="238">
        <f t="shared" si="0"/>
        <v>6244</v>
      </c>
      <c r="H13" s="247">
        <f>G13/G30</f>
        <v>0.17721518987341772</v>
      </c>
    </row>
    <row r="14" spans="1:8" ht="15" customHeight="1">
      <c r="A14" s="244">
        <v>8</v>
      </c>
      <c r="B14" s="490" t="s">
        <v>81</v>
      </c>
      <c r="C14" s="395">
        <v>0</v>
      </c>
      <c r="D14" s="175">
        <v>58</v>
      </c>
      <c r="E14" s="175">
        <v>5</v>
      </c>
      <c r="F14" s="179">
        <v>1083</v>
      </c>
      <c r="G14" s="237">
        <f t="shared" si="0"/>
        <v>1146</v>
      </c>
      <c r="H14" s="246">
        <f>G14/G30</f>
        <v>0.03252540160072657</v>
      </c>
    </row>
    <row r="15" spans="1:8" ht="25.5" customHeight="1">
      <c r="A15" s="244">
        <v>9</v>
      </c>
      <c r="B15" s="419" t="s">
        <v>82</v>
      </c>
      <c r="C15" s="395">
        <v>0</v>
      </c>
      <c r="D15" s="194">
        <f>3564+65</f>
        <v>3629</v>
      </c>
      <c r="E15" s="195">
        <f>3376+19</f>
        <v>3395</v>
      </c>
      <c r="F15" s="195">
        <v>2944</v>
      </c>
      <c r="G15" s="238">
        <f t="shared" si="0"/>
        <v>9968</v>
      </c>
      <c r="H15" s="247">
        <f>G15/G30</f>
        <v>0.28290855423738437</v>
      </c>
    </row>
    <row r="16" spans="1:8" ht="15" customHeight="1">
      <c r="A16" s="244">
        <v>10</v>
      </c>
      <c r="B16" s="404" t="s">
        <v>83</v>
      </c>
      <c r="C16" s="394">
        <v>0</v>
      </c>
      <c r="D16" s="192">
        <v>0</v>
      </c>
      <c r="E16" s="193">
        <v>1</v>
      </c>
      <c r="F16" s="193">
        <v>370</v>
      </c>
      <c r="G16" s="237">
        <f t="shared" si="0"/>
        <v>371</v>
      </c>
      <c r="H16" s="246">
        <f>G16/G30</f>
        <v>0.010529602088891412</v>
      </c>
    </row>
    <row r="17" spans="1:8" ht="15" customHeight="1">
      <c r="A17" s="244">
        <v>11</v>
      </c>
      <c r="B17" s="404" t="s">
        <v>84</v>
      </c>
      <c r="C17" s="394">
        <v>0</v>
      </c>
      <c r="D17" s="192">
        <v>0</v>
      </c>
      <c r="E17" s="193">
        <v>0</v>
      </c>
      <c r="F17" s="179">
        <v>691</v>
      </c>
      <c r="G17" s="237">
        <f t="shared" si="0"/>
        <v>691</v>
      </c>
      <c r="H17" s="246">
        <f>G17/G30</f>
        <v>0.019611738661520123</v>
      </c>
    </row>
    <row r="18" spans="1:8" ht="15" customHeight="1">
      <c r="A18" s="244">
        <v>12</v>
      </c>
      <c r="B18" s="404" t="s">
        <v>85</v>
      </c>
      <c r="C18" s="394">
        <v>0</v>
      </c>
      <c r="D18" s="192">
        <v>2</v>
      </c>
      <c r="E18" s="193">
        <v>9</v>
      </c>
      <c r="F18" s="193">
        <v>166</v>
      </c>
      <c r="G18" s="237">
        <f t="shared" si="0"/>
        <v>177</v>
      </c>
      <c r="H18" s="246">
        <f>G18/G30</f>
        <v>0.005023556791735256</v>
      </c>
    </row>
    <row r="19" spans="1:8" ht="15" customHeight="1">
      <c r="A19" s="244">
        <v>13</v>
      </c>
      <c r="B19" s="404" t="s">
        <v>86</v>
      </c>
      <c r="C19" s="394">
        <v>0</v>
      </c>
      <c r="D19" s="192">
        <v>3</v>
      </c>
      <c r="E19" s="193">
        <v>0</v>
      </c>
      <c r="F19" s="193">
        <v>977</v>
      </c>
      <c r="G19" s="237">
        <f t="shared" si="0"/>
        <v>980</v>
      </c>
      <c r="H19" s="246">
        <f>G19/G30</f>
        <v>0.027814043253675428</v>
      </c>
    </row>
    <row r="20" spans="1:8" ht="15" customHeight="1">
      <c r="A20" s="244">
        <v>14</v>
      </c>
      <c r="B20" s="404" t="s">
        <v>87</v>
      </c>
      <c r="C20" s="394">
        <v>0</v>
      </c>
      <c r="D20" s="192">
        <v>69</v>
      </c>
      <c r="E20" s="193">
        <v>6</v>
      </c>
      <c r="F20" s="193">
        <v>745</v>
      </c>
      <c r="G20" s="237">
        <f t="shared" si="0"/>
        <v>820</v>
      </c>
      <c r="H20" s="246">
        <f>G20/G30</f>
        <v>0.02327297496736107</v>
      </c>
    </row>
    <row r="21" spans="1:8" ht="15" customHeight="1">
      <c r="A21" s="245">
        <v>15</v>
      </c>
      <c r="B21" s="404" t="s">
        <v>88</v>
      </c>
      <c r="C21" s="394">
        <v>0</v>
      </c>
      <c r="D21" s="192">
        <v>16</v>
      </c>
      <c r="E21" s="193">
        <v>0</v>
      </c>
      <c r="F21" s="193">
        <v>2707</v>
      </c>
      <c r="G21" s="237">
        <f t="shared" si="0"/>
        <v>2723</v>
      </c>
      <c r="H21" s="246">
        <f>G21/G30</f>
        <v>0.07728330589771244</v>
      </c>
    </row>
    <row r="22" spans="1:8" ht="15" customHeight="1">
      <c r="A22" s="244">
        <v>16</v>
      </c>
      <c r="B22" s="404" t="s">
        <v>89</v>
      </c>
      <c r="C22" s="394">
        <v>0</v>
      </c>
      <c r="D22" s="192">
        <v>10</v>
      </c>
      <c r="E22" s="193"/>
      <c r="F22" s="193">
        <v>392</v>
      </c>
      <c r="G22" s="237">
        <f t="shared" si="0"/>
        <v>402</v>
      </c>
      <c r="H22" s="246">
        <f>G22/G30</f>
        <v>0.011409434069364817</v>
      </c>
    </row>
    <row r="23" spans="1:8" ht="24.75" customHeight="1">
      <c r="A23" s="245">
        <v>17</v>
      </c>
      <c r="B23" s="404" t="s">
        <v>90</v>
      </c>
      <c r="C23" s="394">
        <v>0</v>
      </c>
      <c r="D23" s="192">
        <v>1</v>
      </c>
      <c r="E23" s="193">
        <v>0</v>
      </c>
      <c r="F23" s="193">
        <v>333</v>
      </c>
      <c r="G23" s="237">
        <f t="shared" si="0"/>
        <v>334</v>
      </c>
      <c r="H23" s="246">
        <f>G23/G30</f>
        <v>0.009479480047681217</v>
      </c>
    </row>
    <row r="24" spans="1:8" ht="15.75" customHeight="1">
      <c r="A24" s="244">
        <v>18</v>
      </c>
      <c r="B24" s="406" t="s">
        <v>91</v>
      </c>
      <c r="C24" s="394">
        <v>0</v>
      </c>
      <c r="D24" s="192">
        <v>53</v>
      </c>
      <c r="E24" s="193">
        <v>7</v>
      </c>
      <c r="F24" s="193">
        <v>408</v>
      </c>
      <c r="G24" s="237">
        <f t="shared" si="0"/>
        <v>468</v>
      </c>
      <c r="H24" s="246">
        <f>G24/G30</f>
        <v>0.01328262473746949</v>
      </c>
    </row>
    <row r="25" spans="1:8" ht="13.5" customHeight="1">
      <c r="A25" s="244">
        <v>19</v>
      </c>
      <c r="B25" s="406" t="s">
        <v>92</v>
      </c>
      <c r="C25" s="394">
        <v>0</v>
      </c>
      <c r="D25" s="192">
        <v>31</v>
      </c>
      <c r="E25" s="193">
        <v>11</v>
      </c>
      <c r="F25" s="193">
        <v>470</v>
      </c>
      <c r="G25" s="237">
        <f t="shared" si="0"/>
        <v>512</v>
      </c>
      <c r="H25" s="246">
        <f>G25/G30</f>
        <v>0.014531418516205938</v>
      </c>
    </row>
    <row r="26" spans="1:8" ht="36.75" customHeight="1">
      <c r="A26" s="245">
        <v>20</v>
      </c>
      <c r="B26" s="406" t="s">
        <v>93</v>
      </c>
      <c r="C26" s="394">
        <v>0</v>
      </c>
      <c r="D26" s="192">
        <v>0</v>
      </c>
      <c r="E26" s="193">
        <v>1</v>
      </c>
      <c r="F26" s="193">
        <v>51</v>
      </c>
      <c r="G26" s="237">
        <f t="shared" si="0"/>
        <v>52</v>
      </c>
      <c r="H26" s="246">
        <f>G26/G30</f>
        <v>0.0014758471930521656</v>
      </c>
    </row>
    <row r="27" spans="1:8" ht="15.75" customHeight="1">
      <c r="A27" s="244">
        <v>21</v>
      </c>
      <c r="B27" s="406" t="s">
        <v>94</v>
      </c>
      <c r="C27" s="394">
        <v>0</v>
      </c>
      <c r="D27" s="192">
        <v>0</v>
      </c>
      <c r="E27" s="193">
        <v>0</v>
      </c>
      <c r="F27" s="193">
        <v>19</v>
      </c>
      <c r="G27" s="237">
        <f t="shared" si="0"/>
        <v>19</v>
      </c>
      <c r="H27" s="246">
        <f>G27/G30</f>
        <v>0.0005392518589998297</v>
      </c>
    </row>
    <row r="28" spans="1:8" ht="15.75" customHeight="1">
      <c r="A28" s="244">
        <v>22</v>
      </c>
      <c r="B28" s="407" t="s">
        <v>95</v>
      </c>
      <c r="C28" s="394">
        <v>0</v>
      </c>
      <c r="D28" s="192">
        <v>0</v>
      </c>
      <c r="E28" s="193">
        <v>0</v>
      </c>
      <c r="F28" s="193">
        <v>2501</v>
      </c>
      <c r="G28" s="237">
        <f t="shared" si="0"/>
        <v>2501</v>
      </c>
      <c r="H28" s="246">
        <f>G28/G30</f>
        <v>0.07098257365045127</v>
      </c>
    </row>
    <row r="29" spans="1:8" ht="15.75" customHeight="1" thickBot="1">
      <c r="A29" s="425">
        <v>23</v>
      </c>
      <c r="B29" s="408" t="s">
        <v>96</v>
      </c>
      <c r="C29" s="396">
        <v>0</v>
      </c>
      <c r="D29" s="196">
        <v>0</v>
      </c>
      <c r="E29" s="197">
        <v>0</v>
      </c>
      <c r="F29" s="197">
        <v>23</v>
      </c>
      <c r="G29" s="248">
        <f t="shared" si="0"/>
        <v>23</v>
      </c>
      <c r="H29" s="249">
        <f>G29/G30</f>
        <v>0.0006527785661576886</v>
      </c>
    </row>
    <row r="30" spans="1:8" ht="12.75" customHeight="1" thickBot="1">
      <c r="A30" s="424"/>
      <c r="B30" s="410" t="s">
        <v>6</v>
      </c>
      <c r="C30" s="397">
        <f aca="true" t="shared" si="1" ref="C30:H30">SUM(C7:C29)</f>
        <v>103</v>
      </c>
      <c r="D30" s="198">
        <f t="shared" si="1"/>
        <v>4121</v>
      </c>
      <c r="E30" s="198">
        <f t="shared" si="1"/>
        <v>3464</v>
      </c>
      <c r="F30" s="198">
        <f t="shared" si="1"/>
        <v>27546</v>
      </c>
      <c r="G30" s="239">
        <f t="shared" si="1"/>
        <v>35234</v>
      </c>
      <c r="H30" s="250">
        <f t="shared" si="1"/>
        <v>0.9999999999999999</v>
      </c>
    </row>
    <row r="31" spans="1:7" ht="12.75">
      <c r="A31" s="207"/>
      <c r="B31" s="208"/>
      <c r="C31" s="209"/>
      <c r="D31" s="209"/>
      <c r="E31" s="209"/>
      <c r="F31" s="209"/>
      <c r="G31" s="209"/>
    </row>
    <row r="32" spans="1:7" ht="12.75">
      <c r="A32" s="75" t="s">
        <v>107</v>
      </c>
      <c r="B32" s="75"/>
      <c r="C32" s="75"/>
      <c r="D32" s="75"/>
      <c r="E32" s="75"/>
      <c r="F32" s="211" t="s">
        <v>15</v>
      </c>
      <c r="G32" s="75"/>
    </row>
    <row r="33" spans="1:7" ht="12.75">
      <c r="A33" s="578">
        <v>41404</v>
      </c>
      <c r="B33" s="578"/>
      <c r="C33" s="75"/>
      <c r="D33" s="75"/>
      <c r="E33" s="75"/>
      <c r="F33" s="211" t="s">
        <v>97</v>
      </c>
      <c r="G33" s="75"/>
    </row>
  </sheetData>
  <sheetProtection/>
  <mergeCells count="8">
    <mergeCell ref="A33:B33"/>
    <mergeCell ref="A2:H2"/>
    <mergeCell ref="A3:C3"/>
    <mergeCell ref="C4:G4"/>
    <mergeCell ref="H4:H6"/>
    <mergeCell ref="C5:D5"/>
    <mergeCell ref="E5:F5"/>
    <mergeCell ref="G5:G6"/>
  </mergeCells>
  <printOptions/>
  <pageMargins left="0.31496062992125984" right="0.31496062992125984" top="0.35433070866141736"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mchrysostomou</cp:lastModifiedBy>
  <cp:lastPrinted>2014-07-08T09:09:18Z</cp:lastPrinted>
  <dcterms:created xsi:type="dcterms:W3CDTF">1999-12-20T10:51:55Z</dcterms:created>
  <dcterms:modified xsi:type="dcterms:W3CDTF">2014-07-08T09:09:36Z</dcterms:modified>
  <cp:category/>
  <cp:version/>
  <cp:contentType/>
  <cp:contentStatus/>
</cp:coreProperties>
</file>