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60" windowWidth="9540" windowHeight="5085" firstSheet="4" activeTab="5"/>
  </bookViews>
  <sheets>
    <sheet name="κατά επαρχία και φύλο το 2014" sheetId="1" r:id="rId1"/>
    <sheet name="κατά επαρχία,  μήνα 2013,2014" sheetId="8" r:id="rId2"/>
    <sheet name="κατά φύλο, μήνα 2013,2014" sheetId="4" r:id="rId3"/>
    <sheet name="άνεργοι κατά μήνα 2007-2014" sheetId="6" r:id="rId4"/>
    <sheet name="δικ κατά μήν και κοιν 2013-2014" sheetId="10" r:id="rId5"/>
    <sheet name="δικ, ποσό πληρ. κατά μήνα 11-14" sheetId="5" r:id="rId6"/>
    <sheet name="άνεργοι κατά οικ. δραστ.1.2014" sheetId="11" r:id="rId7"/>
    <sheet name="άνεργοι κατά οικ. δραστ. 2.2014" sheetId="12" r:id="rId8"/>
    <sheet name="άνεργοι κατά οικ. δρστ. 3.2014" sheetId="13" r:id="rId9"/>
    <sheet name="άνεργοι κατά οικ. δραστ. 4.2014" sheetId="14" r:id="rId10"/>
    <sheet name="άνεργοι κατά οικ. δραστ. 5.2014" sheetId="15" r:id="rId11"/>
    <sheet name="άνεργοι κατά οικ. δρ. 6.2014" sheetId="16" r:id="rId12"/>
    <sheet name="άνεργοι κατά οικ. δρ. 7.2014" sheetId="17" r:id="rId13"/>
    <sheet name="άνεργοι κατά οικ. δρ. 8.14" sheetId="18" r:id="rId14"/>
    <sheet name="ανεργοι κατά οικ. δρ.9.14" sheetId="19" r:id="rId15"/>
    <sheet name="ανεργοι κατά οικ. δρ.10.14" sheetId="20" r:id="rId16"/>
    <sheet name="ανεργοι κατά οικ. δρ.11.14" sheetId="21" r:id="rId17"/>
    <sheet name="ανεργοι κατά οικ. δρ.12.14" sheetId="22" r:id="rId18"/>
  </sheets>
  <definedNames>
    <definedName name="_xlnm._FilterDatabase" localSheetId="5" hidden="1">'δικ, ποσό πληρ. κατά μήνα 11-14'!$J$23:$L$23</definedName>
  </definedNames>
  <calcPr calcId="124519"/>
</workbook>
</file>

<file path=xl/calcChain.xml><?xml version="1.0" encoding="utf-8"?>
<calcChain xmlns="http://schemas.openxmlformats.org/spreadsheetml/2006/main">
  <c r="AA19" i="5"/>
  <c r="Y19"/>
  <c r="AD17" i="10"/>
  <c r="AC17"/>
  <c r="Q22" i="5"/>
  <c r="F28" i="22" l="1"/>
  <c r="F22"/>
  <c r="F16"/>
  <c r="F15"/>
  <c r="F14"/>
  <c r="F13"/>
  <c r="F12"/>
  <c r="V18" i="6"/>
  <c r="U18"/>
  <c r="K23" i="4"/>
  <c r="J23" s="1"/>
  <c r="I23"/>
  <c r="G23"/>
  <c r="K21"/>
  <c r="J21" s="1"/>
  <c r="I21"/>
  <c r="G21"/>
  <c r="N21" i="8"/>
  <c r="M21"/>
  <c r="L21"/>
  <c r="K21"/>
  <c r="J21"/>
  <c r="I21"/>
  <c r="H21"/>
  <c r="R23" i="1"/>
  <c r="P23"/>
  <c r="O23" s="1"/>
  <c r="N23"/>
  <c r="J23"/>
  <c r="K23"/>
  <c r="L23"/>
  <c r="M23"/>
  <c r="I23"/>
  <c r="H23"/>
  <c r="C23"/>
  <c r="D23"/>
  <c r="E23"/>
  <c r="F23"/>
  <c r="G23"/>
  <c r="B23"/>
  <c r="N21"/>
  <c r="P21" s="1"/>
  <c r="G21"/>
  <c r="V16" i="6"/>
  <c r="V17"/>
  <c r="F28" i="21"/>
  <c r="F22"/>
  <c r="F16"/>
  <c r="F13"/>
  <c r="F12"/>
  <c r="F9"/>
  <c r="G26"/>
  <c r="G27"/>
  <c r="G28"/>
  <c r="U17" i="6"/>
  <c r="K20" i="4"/>
  <c r="J20" s="1"/>
  <c r="I20"/>
  <c r="G20"/>
  <c r="L20" i="8"/>
  <c r="K20"/>
  <c r="J20"/>
  <c r="I20"/>
  <c r="H20"/>
  <c r="M20" s="1"/>
  <c r="N20" i="1"/>
  <c r="P20" s="1"/>
  <c r="G20"/>
  <c r="AC16" i="10"/>
  <c r="AC15"/>
  <c r="U19" i="6"/>
  <c r="F28" i="20"/>
  <c r="F23"/>
  <c r="F22"/>
  <c r="F20"/>
  <c r="F15"/>
  <c r="F13"/>
  <c r="F12"/>
  <c r="F9"/>
  <c r="D30"/>
  <c r="U16" i="6"/>
  <c r="K19" i="4"/>
  <c r="J19" s="1"/>
  <c r="I19"/>
  <c r="G19"/>
  <c r="L19" i="8"/>
  <c r="K19"/>
  <c r="J19"/>
  <c r="I19"/>
  <c r="H19"/>
  <c r="M19" s="1"/>
  <c r="R19" i="1"/>
  <c r="P19"/>
  <c r="O19" s="1"/>
  <c r="N19"/>
  <c r="H19"/>
  <c r="G19"/>
  <c r="V15" i="6"/>
  <c r="AD15" i="10" l="1"/>
  <c r="Y17" i="5"/>
  <c r="AA17" s="1"/>
  <c r="AD16" i="10"/>
  <c r="Y18" i="5"/>
  <c r="AA18" s="1"/>
  <c r="H23" i="4"/>
  <c r="H21"/>
  <c r="R21" i="1"/>
  <c r="O21"/>
  <c r="H21"/>
  <c r="H20" i="4"/>
  <c r="R20" i="1"/>
  <c r="O20"/>
  <c r="H20"/>
  <c r="H19" i="4"/>
  <c r="F28" i="19"/>
  <c r="F27"/>
  <c r="F23"/>
  <c r="F22"/>
  <c r="F20"/>
  <c r="F15"/>
  <c r="F13"/>
  <c r="F12"/>
  <c r="F9"/>
  <c r="G9" s="1"/>
  <c r="AC14" i="10"/>
  <c r="U15" i="6"/>
  <c r="K18" i="4"/>
  <c r="J18" s="1"/>
  <c r="I18"/>
  <c r="G18"/>
  <c r="L18" i="8"/>
  <c r="K18"/>
  <c r="J18"/>
  <c r="I18"/>
  <c r="H18"/>
  <c r="M18" s="1"/>
  <c r="R18" i="1"/>
  <c r="P18"/>
  <c r="O18" s="1"/>
  <c r="N18"/>
  <c r="H18"/>
  <c r="G18"/>
  <c r="AC11" i="10"/>
  <c r="AD14" l="1"/>
  <c r="Y16" i="5"/>
  <c r="AA16" s="1"/>
  <c r="H18" i="4"/>
  <c r="AC13" i="10"/>
  <c r="V14" i="6"/>
  <c r="AD13" i="10" l="1"/>
  <c r="Y15" i="5"/>
  <c r="AA15" s="1"/>
  <c r="F29" i="18"/>
  <c r="F28"/>
  <c r="F23"/>
  <c r="F16"/>
  <c r="F14"/>
  <c r="F10"/>
  <c r="C31"/>
  <c r="U14" i="6"/>
  <c r="J17" i="4"/>
  <c r="H17"/>
  <c r="K17"/>
  <c r="I17"/>
  <c r="G17"/>
  <c r="L17" i="8"/>
  <c r="K17"/>
  <c r="J17"/>
  <c r="I17"/>
  <c r="H17"/>
  <c r="M17" s="1"/>
  <c r="R17" i="1"/>
  <c r="O17"/>
  <c r="H17"/>
  <c r="P17"/>
  <c r="N17"/>
  <c r="G17"/>
  <c r="F28" i="17" l="1"/>
  <c r="F22"/>
  <c r="F15"/>
  <c r="F13"/>
  <c r="F9"/>
  <c r="AD11" i="10"/>
  <c r="V19" i="6"/>
  <c r="V13"/>
  <c r="U13"/>
  <c r="I16" i="4"/>
  <c r="G16"/>
  <c r="L16" i="8"/>
  <c r="L23" s="1"/>
  <c r="K16"/>
  <c r="K23" s="1"/>
  <c r="J16"/>
  <c r="J23" s="1"/>
  <c r="I16"/>
  <c r="I23" s="1"/>
  <c r="H16"/>
  <c r="M16" s="1"/>
  <c r="R16" i="1"/>
  <c r="P16"/>
  <c r="O16" s="1"/>
  <c r="H16"/>
  <c r="N16"/>
  <c r="G16"/>
  <c r="U11" i="6"/>
  <c r="V11" s="1"/>
  <c r="G13" i="4"/>
  <c r="H13" s="1"/>
  <c r="I13"/>
  <c r="J13" s="1"/>
  <c r="K13"/>
  <c r="H13" i="8"/>
  <c r="I13"/>
  <c r="J13"/>
  <c r="K13"/>
  <c r="L13"/>
  <c r="M13" s="1"/>
  <c r="N13" i="1"/>
  <c r="P13" s="1"/>
  <c r="G13"/>
  <c r="F28" i="16"/>
  <c r="F19"/>
  <c r="F17"/>
  <c r="F15"/>
  <c r="F13"/>
  <c r="F9"/>
  <c r="AC10" i="10"/>
  <c r="AD10" s="1"/>
  <c r="AC9"/>
  <c r="AD9" s="1"/>
  <c r="U10" i="6"/>
  <c r="V10" s="1"/>
  <c r="G12" i="4"/>
  <c r="H12" s="1"/>
  <c r="I12"/>
  <c r="J12" s="1"/>
  <c r="K12"/>
  <c r="H12" i="8"/>
  <c r="I12"/>
  <c r="J12"/>
  <c r="K12"/>
  <c r="L12"/>
  <c r="M12" s="1"/>
  <c r="P12" i="1"/>
  <c r="N12"/>
  <c r="H12"/>
  <c r="G12"/>
  <c r="F29" i="15"/>
  <c r="F20"/>
  <c r="F18"/>
  <c r="F17"/>
  <c r="F16"/>
  <c r="F14"/>
  <c r="F10"/>
  <c r="R12" i="1"/>
  <c r="X21" i="5"/>
  <c r="H23" i="8" l="1"/>
  <c r="M23"/>
  <c r="Y13" i="5"/>
  <c r="AA13" s="1"/>
  <c r="Y12"/>
  <c r="AA12" s="1"/>
  <c r="K16" i="4"/>
  <c r="H16" s="1"/>
  <c r="H13" i="1"/>
  <c r="R13"/>
  <c r="O13"/>
  <c r="Y11" i="5"/>
  <c r="AA11" s="1"/>
  <c r="O12" i="1"/>
  <c r="U9" i="6"/>
  <c r="V9" s="1"/>
  <c r="G11" i="4"/>
  <c r="H11" s="1"/>
  <c r="I11"/>
  <c r="J11" s="1"/>
  <c r="K11"/>
  <c r="H11" i="8"/>
  <c r="I11"/>
  <c r="J11"/>
  <c r="K11"/>
  <c r="L11"/>
  <c r="M11"/>
  <c r="R11" i="1"/>
  <c r="N11"/>
  <c r="O11" s="1"/>
  <c r="P11"/>
  <c r="G11"/>
  <c r="G9" i="14"/>
  <c r="G11"/>
  <c r="G12"/>
  <c r="G18"/>
  <c r="G19"/>
  <c r="G20"/>
  <c r="G22"/>
  <c r="G23"/>
  <c r="G24"/>
  <c r="G25"/>
  <c r="G26"/>
  <c r="G27"/>
  <c r="G28"/>
  <c r="G30"/>
  <c r="F29"/>
  <c r="G29" s="1"/>
  <c r="F21"/>
  <c r="G21" s="1"/>
  <c r="F17"/>
  <c r="G17" s="1"/>
  <c r="F16"/>
  <c r="G16" s="1"/>
  <c r="F15"/>
  <c r="G15" s="1"/>
  <c r="F14"/>
  <c r="G14" s="1"/>
  <c r="F13"/>
  <c r="G13" s="1"/>
  <c r="F10"/>
  <c r="G10" s="1"/>
  <c r="AB12" i="10"/>
  <c r="AA12"/>
  <c r="Z12"/>
  <c r="Y12"/>
  <c r="AC6"/>
  <c r="Y8" i="5" s="1"/>
  <c r="AC8" i="10"/>
  <c r="AD8" s="1"/>
  <c r="AC7"/>
  <c r="AD7" s="1"/>
  <c r="J16" i="4" l="1"/>
  <c r="Y10" i="5"/>
  <c r="Y9"/>
  <c r="AD6" i="10"/>
  <c r="H11" i="1"/>
  <c r="AC12" i="10"/>
  <c r="AD12" s="1"/>
  <c r="Y14" i="5" l="1"/>
  <c r="AA14" s="1"/>
  <c r="F28" i="13"/>
  <c r="F25"/>
  <c r="F24"/>
  <c r="F20"/>
  <c r="F15"/>
  <c r="F14"/>
  <c r="F9"/>
  <c r="U8" i="6"/>
  <c r="V8" s="1"/>
  <c r="G10" i="4"/>
  <c r="H10" s="1"/>
  <c r="I10"/>
  <c r="J10" s="1"/>
  <c r="K10"/>
  <c r="H10" i="8"/>
  <c r="I10"/>
  <c r="J10"/>
  <c r="K10"/>
  <c r="L10"/>
  <c r="M10" s="1"/>
  <c r="R10" i="1"/>
  <c r="P10"/>
  <c r="N10"/>
  <c r="G10"/>
  <c r="H10" s="1"/>
  <c r="W18" i="10"/>
  <c r="X18" s="1"/>
  <c r="V7" i="6"/>
  <c r="U7"/>
  <c r="G9" i="4"/>
  <c r="H9" s="1"/>
  <c r="I9"/>
  <c r="J9" s="1"/>
  <c r="K9"/>
  <c r="H9" i="8"/>
  <c r="I9"/>
  <c r="J9"/>
  <c r="K9"/>
  <c r="L9"/>
  <c r="M9"/>
  <c r="R9" i="1"/>
  <c r="N9"/>
  <c r="O9" s="1"/>
  <c r="P9"/>
  <c r="G9"/>
  <c r="F28" i="12"/>
  <c r="F25"/>
  <c r="F24"/>
  <c r="F23"/>
  <c r="F20"/>
  <c r="F15"/>
  <c r="F14"/>
  <c r="F13"/>
  <c r="F9"/>
  <c r="V20" i="5" l="1"/>
  <c r="X20" s="1"/>
  <c r="O10" i="1"/>
  <c r="H9"/>
  <c r="P15" l="1"/>
  <c r="R15" s="1"/>
  <c r="V20" i="10"/>
  <c r="T18" i="6"/>
  <c r="F28" i="11"/>
  <c r="F25"/>
  <c r="F20"/>
  <c r="F19"/>
  <c r="F15"/>
  <c r="F14"/>
  <c r="F12"/>
  <c r="F9"/>
  <c r="F25" i="8"/>
  <c r="E25"/>
  <c r="D25"/>
  <c r="C25"/>
  <c r="B25"/>
  <c r="Q25" i="1"/>
  <c r="Q23"/>
  <c r="M25"/>
  <c r="L25"/>
  <c r="K25"/>
  <c r="J25"/>
  <c r="I25"/>
  <c r="F25"/>
  <c r="E25"/>
  <c r="D25"/>
  <c r="C25"/>
  <c r="B25"/>
  <c r="H8" i="8"/>
  <c r="H15" s="1"/>
  <c r="I8"/>
  <c r="J8"/>
  <c r="K8"/>
  <c r="L8"/>
  <c r="G21"/>
  <c r="T17" i="6"/>
  <c r="T16"/>
  <c r="T19" s="1"/>
  <c r="U20" i="10"/>
  <c r="T20"/>
  <c r="S20"/>
  <c r="V19"/>
  <c r="U19"/>
  <c r="T19"/>
  <c r="S19"/>
  <c r="F8" i="4"/>
  <c r="F9"/>
  <c r="F10"/>
  <c r="F11"/>
  <c r="F12"/>
  <c r="F13"/>
  <c r="E8"/>
  <c r="C9"/>
  <c r="E10"/>
  <c r="C11"/>
  <c r="E12"/>
  <c r="C13"/>
  <c r="B15"/>
  <c r="D15"/>
  <c r="F15"/>
  <c r="F16"/>
  <c r="C16" s="1"/>
  <c r="F17"/>
  <c r="E17" s="1"/>
  <c r="F18"/>
  <c r="C18" s="1"/>
  <c r="F19"/>
  <c r="E19" s="1"/>
  <c r="F20"/>
  <c r="C20" s="1"/>
  <c r="F21"/>
  <c r="E21" s="1"/>
  <c r="B23"/>
  <c r="D23"/>
  <c r="B25"/>
  <c r="D25"/>
  <c r="W17" i="10"/>
  <c r="V19" i="5" s="1"/>
  <c r="X19" s="1"/>
  <c r="Z21"/>
  <c r="Z14"/>
  <c r="P14"/>
  <c r="Q14"/>
  <c r="P21"/>
  <c r="Q21"/>
  <c r="P22"/>
  <c r="E30" i="22"/>
  <c r="D30"/>
  <c r="C30"/>
  <c r="G29"/>
  <c r="G28"/>
  <c r="G27"/>
  <c r="G26"/>
  <c r="G25"/>
  <c r="G24"/>
  <c r="G23"/>
  <c r="G22"/>
  <c r="G21"/>
  <c r="G20"/>
  <c r="G19"/>
  <c r="G18"/>
  <c r="G17"/>
  <c r="G16"/>
  <c r="G15"/>
  <c r="G14"/>
  <c r="G13"/>
  <c r="G12"/>
  <c r="G11"/>
  <c r="G10"/>
  <c r="G9"/>
  <c r="F30"/>
  <c r="G8"/>
  <c r="G7"/>
  <c r="W14" i="5"/>
  <c r="W16" i="10"/>
  <c r="V18" i="5" s="1"/>
  <c r="X18" s="1"/>
  <c r="W15" i="10"/>
  <c r="V17" i="5" s="1"/>
  <c r="X17" s="1"/>
  <c r="W14" i="10"/>
  <c r="V16" i="5" s="1"/>
  <c r="X16" s="1"/>
  <c r="G17" i="21"/>
  <c r="E30"/>
  <c r="D30"/>
  <c r="C30"/>
  <c r="G29"/>
  <c r="G25"/>
  <c r="G24"/>
  <c r="G23"/>
  <c r="G22"/>
  <c r="G21"/>
  <c r="G20"/>
  <c r="G19"/>
  <c r="G18"/>
  <c r="G16"/>
  <c r="G15"/>
  <c r="G14"/>
  <c r="G13"/>
  <c r="G12"/>
  <c r="G11"/>
  <c r="G10"/>
  <c r="F30"/>
  <c r="G8"/>
  <c r="G7"/>
  <c r="A30" i="8"/>
  <c r="A29" i="4" s="1"/>
  <c r="A25" i="6" s="1"/>
  <c r="A28" i="10" s="1"/>
  <c r="A31" i="5" s="1"/>
  <c r="T20" i="6"/>
  <c r="W21" i="5"/>
  <c r="F30" i="20"/>
  <c r="E30"/>
  <c r="C30"/>
  <c r="G29"/>
  <c r="G28"/>
  <c r="G27"/>
  <c r="G26"/>
  <c r="G25"/>
  <c r="G24"/>
  <c r="G23"/>
  <c r="G22"/>
  <c r="G21"/>
  <c r="G20"/>
  <c r="G19"/>
  <c r="G18"/>
  <c r="G17"/>
  <c r="G16"/>
  <c r="G15"/>
  <c r="G14"/>
  <c r="G13"/>
  <c r="G12"/>
  <c r="G11"/>
  <c r="G10"/>
  <c r="G9"/>
  <c r="G8"/>
  <c r="G7"/>
  <c r="F30" i="19"/>
  <c r="E30"/>
  <c r="D30"/>
  <c r="C30"/>
  <c r="G29"/>
  <c r="G28"/>
  <c r="G27"/>
  <c r="G26"/>
  <c r="G25"/>
  <c r="G24"/>
  <c r="G23"/>
  <c r="G22"/>
  <c r="G21"/>
  <c r="G20"/>
  <c r="G19"/>
  <c r="G18"/>
  <c r="G17"/>
  <c r="G16"/>
  <c r="G15"/>
  <c r="G14"/>
  <c r="G13"/>
  <c r="G12"/>
  <c r="G11"/>
  <c r="G10"/>
  <c r="G8"/>
  <c r="G7"/>
  <c r="W13" i="10"/>
  <c r="V15" i="5" s="1"/>
  <c r="F31" i="18"/>
  <c r="E31"/>
  <c r="D31"/>
  <c r="G30"/>
  <c r="G29"/>
  <c r="G28"/>
  <c r="G27"/>
  <c r="G26"/>
  <c r="G25"/>
  <c r="G24"/>
  <c r="G23"/>
  <c r="G22"/>
  <c r="G21"/>
  <c r="G20"/>
  <c r="G19"/>
  <c r="G18"/>
  <c r="G17"/>
  <c r="G16"/>
  <c r="G15"/>
  <c r="G14"/>
  <c r="G13"/>
  <c r="G12"/>
  <c r="G11"/>
  <c r="G10"/>
  <c r="G9"/>
  <c r="G8"/>
  <c r="V12" i="10"/>
  <c r="U12"/>
  <c r="T12"/>
  <c r="S12"/>
  <c r="W11"/>
  <c r="V13" i="5" s="1"/>
  <c r="W10" i="10"/>
  <c r="V12" i="5" s="1"/>
  <c r="W9" i="10"/>
  <c r="V11" i="5" s="1"/>
  <c r="F30" i="17"/>
  <c r="E30"/>
  <c r="D30"/>
  <c r="C30"/>
  <c r="G29"/>
  <c r="G28"/>
  <c r="G27"/>
  <c r="G26"/>
  <c r="G25"/>
  <c r="G24"/>
  <c r="G23"/>
  <c r="G22"/>
  <c r="G21"/>
  <c r="G20"/>
  <c r="G19"/>
  <c r="G18"/>
  <c r="G17"/>
  <c r="G16"/>
  <c r="G15"/>
  <c r="G14"/>
  <c r="G13"/>
  <c r="G12"/>
  <c r="G11"/>
  <c r="G10"/>
  <c r="G9"/>
  <c r="G8"/>
  <c r="G7"/>
  <c r="G16" i="8"/>
  <c r="N16" s="1"/>
  <c r="G17"/>
  <c r="N17" s="1"/>
  <c r="G18"/>
  <c r="N18" s="1"/>
  <c r="G19"/>
  <c r="N19" s="1"/>
  <c r="G20"/>
  <c r="N20" s="1"/>
  <c r="B23"/>
  <c r="C23"/>
  <c r="D23"/>
  <c r="E23"/>
  <c r="F23"/>
  <c r="F30" i="16"/>
  <c r="E30"/>
  <c r="D30"/>
  <c r="C30"/>
  <c r="G29"/>
  <c r="G28"/>
  <c r="G27"/>
  <c r="G26"/>
  <c r="G25"/>
  <c r="G24"/>
  <c r="G23"/>
  <c r="G22"/>
  <c r="G21"/>
  <c r="G20"/>
  <c r="G19"/>
  <c r="G18"/>
  <c r="G17"/>
  <c r="G16"/>
  <c r="G15"/>
  <c r="G14"/>
  <c r="G13"/>
  <c r="G12"/>
  <c r="G11"/>
  <c r="G10"/>
  <c r="G9"/>
  <c r="G8"/>
  <c r="G7"/>
  <c r="T12" i="6"/>
  <c r="G30" i="15"/>
  <c r="F31"/>
  <c r="D31"/>
  <c r="C31"/>
  <c r="G29"/>
  <c r="G28"/>
  <c r="G27"/>
  <c r="G26"/>
  <c r="G25"/>
  <c r="G24"/>
  <c r="G23"/>
  <c r="G22"/>
  <c r="G21"/>
  <c r="G20"/>
  <c r="G19"/>
  <c r="G18"/>
  <c r="G17"/>
  <c r="E31"/>
  <c r="G15"/>
  <c r="G14"/>
  <c r="G13"/>
  <c r="G12"/>
  <c r="G11"/>
  <c r="G10"/>
  <c r="G9"/>
  <c r="G8"/>
  <c r="W8" i="10"/>
  <c r="V10" i="5" s="1"/>
  <c r="AA10" s="1"/>
  <c r="W7" i="10"/>
  <c r="V9" i="5" s="1"/>
  <c r="AA9" s="1"/>
  <c r="W6" i="10"/>
  <c r="V8" i="5" s="1"/>
  <c r="AA8" s="1"/>
  <c r="U20"/>
  <c r="S22"/>
  <c r="S21"/>
  <c r="O19" i="10"/>
  <c r="M20"/>
  <c r="P20"/>
  <c r="O20"/>
  <c r="N20"/>
  <c r="P19"/>
  <c r="N19"/>
  <c r="M19"/>
  <c r="Q6"/>
  <c r="F31" i="14"/>
  <c r="D31"/>
  <c r="C31"/>
  <c r="G8"/>
  <c r="F30" i="13"/>
  <c r="D30"/>
  <c r="C30"/>
  <c r="G29"/>
  <c r="G28"/>
  <c r="G27"/>
  <c r="G26"/>
  <c r="G25"/>
  <c r="G24"/>
  <c r="G23"/>
  <c r="G22"/>
  <c r="G21"/>
  <c r="G20"/>
  <c r="G19"/>
  <c r="G18"/>
  <c r="G17"/>
  <c r="G16"/>
  <c r="G15"/>
  <c r="E30"/>
  <c r="G14"/>
  <c r="G13"/>
  <c r="G12"/>
  <c r="G11"/>
  <c r="G10"/>
  <c r="G9"/>
  <c r="G8"/>
  <c r="G7"/>
  <c r="F30" i="12"/>
  <c r="C30"/>
  <c r="G29"/>
  <c r="G28"/>
  <c r="G27"/>
  <c r="G26"/>
  <c r="G25"/>
  <c r="G24"/>
  <c r="G23"/>
  <c r="G22"/>
  <c r="G21"/>
  <c r="G20"/>
  <c r="G19"/>
  <c r="G18"/>
  <c r="G17"/>
  <c r="G16"/>
  <c r="E30"/>
  <c r="D30"/>
  <c r="G14"/>
  <c r="G13"/>
  <c r="G12"/>
  <c r="G11"/>
  <c r="G10"/>
  <c r="G9"/>
  <c r="G8"/>
  <c r="G7"/>
  <c r="G13" i="8"/>
  <c r="N13" s="1"/>
  <c r="G12"/>
  <c r="N12" s="1"/>
  <c r="G11"/>
  <c r="N11" s="1"/>
  <c r="G10"/>
  <c r="N10" s="1"/>
  <c r="G9"/>
  <c r="N9" s="1"/>
  <c r="G8"/>
  <c r="B15"/>
  <c r="C15"/>
  <c r="D15"/>
  <c r="E15"/>
  <c r="F15"/>
  <c r="U19" i="5"/>
  <c r="U18"/>
  <c r="U17"/>
  <c r="U16"/>
  <c r="U15"/>
  <c r="Q16" i="10"/>
  <c r="X16" s="1"/>
  <c r="Q15"/>
  <c r="X15" s="1"/>
  <c r="Q14"/>
  <c r="X14" s="1"/>
  <c r="Q13"/>
  <c r="X13" s="1"/>
  <c r="F30" i="11"/>
  <c r="E30"/>
  <c r="D30"/>
  <c r="C30"/>
  <c r="S20" i="6"/>
  <c r="S19"/>
  <c r="K11" i="10"/>
  <c r="U13" i="5"/>
  <c r="U12"/>
  <c r="P12" i="10"/>
  <c r="O12"/>
  <c r="N12"/>
  <c r="M12"/>
  <c r="Q11"/>
  <c r="Q10"/>
  <c r="X10" s="1"/>
  <c r="S14" i="5"/>
  <c r="G29" i="11"/>
  <c r="G28"/>
  <c r="G27"/>
  <c r="G26"/>
  <c r="G25"/>
  <c r="G24"/>
  <c r="G23"/>
  <c r="G22"/>
  <c r="G21"/>
  <c r="G20"/>
  <c r="G19"/>
  <c r="G18"/>
  <c r="G17"/>
  <c r="G16"/>
  <c r="G15"/>
  <c r="G14"/>
  <c r="G13"/>
  <c r="G12"/>
  <c r="G11"/>
  <c r="G10"/>
  <c r="G9"/>
  <c r="G8"/>
  <c r="G7"/>
  <c r="S12" i="6"/>
  <c r="U11" i="5"/>
  <c r="U10"/>
  <c r="Q9" i="10"/>
  <c r="Q8"/>
  <c r="X8"/>
  <c r="Q7"/>
  <c r="U9" i="5"/>
  <c r="U8"/>
  <c r="R20"/>
  <c r="R19"/>
  <c r="R18"/>
  <c r="T21"/>
  <c r="T14"/>
  <c r="C20" i="6"/>
  <c r="B20"/>
  <c r="C19"/>
  <c r="B19"/>
  <c r="C12"/>
  <c r="B12"/>
  <c r="L20"/>
  <c r="K20"/>
  <c r="J20"/>
  <c r="I20"/>
  <c r="E20"/>
  <c r="D20"/>
  <c r="L19"/>
  <c r="K19"/>
  <c r="J19"/>
  <c r="I19"/>
  <c r="E19"/>
  <c r="D19"/>
  <c r="L12"/>
  <c r="K12"/>
  <c r="J12"/>
  <c r="I12"/>
  <c r="F12"/>
  <c r="E12"/>
  <c r="D12"/>
  <c r="R17" i="5"/>
  <c r="R16"/>
  <c r="R15"/>
  <c r="B18" i="10"/>
  <c r="B17"/>
  <c r="B16"/>
  <c r="B15"/>
  <c r="B14"/>
  <c r="B13"/>
  <c r="B19" s="1"/>
  <c r="B11"/>
  <c r="B10"/>
  <c r="B9"/>
  <c r="B8"/>
  <c r="B7"/>
  <c r="B6"/>
  <c r="F6" s="1"/>
  <c r="R19" i="6"/>
  <c r="R20"/>
  <c r="H14" i="5"/>
  <c r="F14"/>
  <c r="D14"/>
  <c r="B14"/>
  <c r="E21"/>
  <c r="D21"/>
  <c r="D22" s="1"/>
  <c r="E14"/>
  <c r="E22" s="1"/>
  <c r="M22"/>
  <c r="M21"/>
  <c r="M14"/>
  <c r="O14" s="1"/>
  <c r="J14"/>
  <c r="Q20" i="6"/>
  <c r="P20"/>
  <c r="O20"/>
  <c r="N20"/>
  <c r="M20"/>
  <c r="M19"/>
  <c r="Q19"/>
  <c r="P19"/>
  <c r="O19"/>
  <c r="N19"/>
  <c r="R12"/>
  <c r="Q12"/>
  <c r="P12"/>
  <c r="O12"/>
  <c r="N12"/>
  <c r="M12"/>
  <c r="F8" i="10"/>
  <c r="J12"/>
  <c r="I12"/>
  <c r="H12"/>
  <c r="G12"/>
  <c r="F18"/>
  <c r="F17"/>
  <c r="F16"/>
  <c r="F15"/>
  <c r="F14"/>
  <c r="F13"/>
  <c r="F19" s="1"/>
  <c r="K18"/>
  <c r="L18"/>
  <c r="K17"/>
  <c r="L17"/>
  <c r="K16"/>
  <c r="R16"/>
  <c r="L16"/>
  <c r="K15"/>
  <c r="R15" s="1"/>
  <c r="K14"/>
  <c r="R14" s="1"/>
  <c r="K13"/>
  <c r="R13" s="1"/>
  <c r="F11"/>
  <c r="L11" s="1"/>
  <c r="F10"/>
  <c r="F9"/>
  <c r="F7"/>
  <c r="K10"/>
  <c r="L10" s="1"/>
  <c r="K9"/>
  <c r="L9" s="1"/>
  <c r="K8"/>
  <c r="L8" s="1"/>
  <c r="K7"/>
  <c r="R7" s="1"/>
  <c r="K6"/>
  <c r="R6" s="1"/>
  <c r="J20"/>
  <c r="I20"/>
  <c r="H20"/>
  <c r="G20"/>
  <c r="J19"/>
  <c r="I19"/>
  <c r="H19"/>
  <c r="G19"/>
  <c r="E20"/>
  <c r="D20"/>
  <c r="C20"/>
  <c r="E19"/>
  <c r="D19"/>
  <c r="C19"/>
  <c r="E12"/>
  <c r="D12"/>
  <c r="C12"/>
  <c r="R13" i="5"/>
  <c r="R12"/>
  <c r="R11"/>
  <c r="R10"/>
  <c r="R9"/>
  <c r="R8"/>
  <c r="L8"/>
  <c r="L9"/>
  <c r="L10"/>
  <c r="L11"/>
  <c r="L12"/>
  <c r="L13"/>
  <c r="L14"/>
  <c r="I14"/>
  <c r="K14"/>
  <c r="L15"/>
  <c r="L16"/>
  <c r="L17"/>
  <c r="L18"/>
  <c r="L19"/>
  <c r="L20"/>
  <c r="H21"/>
  <c r="I21"/>
  <c r="J21"/>
  <c r="K21"/>
  <c r="K22" s="1"/>
  <c r="H22"/>
  <c r="J22"/>
  <c r="O22" s="1"/>
  <c r="L15" i="8"/>
  <c r="K15"/>
  <c r="J15"/>
  <c r="I15"/>
  <c r="O20" i="5"/>
  <c r="O19"/>
  <c r="O21"/>
  <c r="O18"/>
  <c r="O17"/>
  <c r="O16"/>
  <c r="O15"/>
  <c r="Q15" i="1"/>
  <c r="M15"/>
  <c r="L15"/>
  <c r="K15"/>
  <c r="J15"/>
  <c r="I15"/>
  <c r="F15"/>
  <c r="E15"/>
  <c r="D15"/>
  <c r="C15"/>
  <c r="B15"/>
  <c r="O13" i="5"/>
  <c r="O12"/>
  <c r="N14"/>
  <c r="O11"/>
  <c r="O10"/>
  <c r="O9"/>
  <c r="N8" i="1"/>
  <c r="N25" s="1"/>
  <c r="O8" i="5"/>
  <c r="N21"/>
  <c r="C14"/>
  <c r="G14"/>
  <c r="B21"/>
  <c r="C21"/>
  <c r="F21"/>
  <c r="G21"/>
  <c r="G22" s="1"/>
  <c r="H6" i="6"/>
  <c r="G7"/>
  <c r="H8"/>
  <c r="G9"/>
  <c r="H9"/>
  <c r="H10"/>
  <c r="H11"/>
  <c r="G13"/>
  <c r="H13"/>
  <c r="H14"/>
  <c r="H15"/>
  <c r="G16"/>
  <c r="H16"/>
  <c r="F17"/>
  <c r="F18"/>
  <c r="H18"/>
  <c r="G8" i="1"/>
  <c r="G8" i="4" s="1"/>
  <c r="K12" i="10"/>
  <c r="I22" i="5"/>
  <c r="L21"/>
  <c r="L22"/>
  <c r="Q12" i="10"/>
  <c r="R12"/>
  <c r="U14" i="5"/>
  <c r="Q17" i="10"/>
  <c r="R17" s="1"/>
  <c r="G15" i="12"/>
  <c r="G30" i="13"/>
  <c r="H14" s="1"/>
  <c r="Q18" i="10"/>
  <c r="Q19" s="1"/>
  <c r="E31" i="14"/>
  <c r="X7" i="10"/>
  <c r="G16" i="15"/>
  <c r="G15" i="1"/>
  <c r="G30" i="17"/>
  <c r="R9" i="10"/>
  <c r="X11"/>
  <c r="G31" i="18"/>
  <c r="W22" i="5"/>
  <c r="G9" i="21"/>
  <c r="G30" s="1"/>
  <c r="H8" s="1"/>
  <c r="G30" i="22"/>
  <c r="H27" s="1"/>
  <c r="G31" i="15"/>
  <c r="H10" s="1"/>
  <c r="G31" i="14"/>
  <c r="H30" s="1"/>
  <c r="H25" i="22" l="1"/>
  <c r="H10"/>
  <c r="H17"/>
  <c r="H8"/>
  <c r="H13"/>
  <c r="H26"/>
  <c r="H29"/>
  <c r="H7"/>
  <c r="H21"/>
  <c r="H15"/>
  <c r="H22"/>
  <c r="H19"/>
  <c r="H11"/>
  <c r="H28"/>
  <c r="H18"/>
  <c r="H14"/>
  <c r="H9"/>
  <c r="H23"/>
  <c r="H16"/>
  <c r="H20"/>
  <c r="H24"/>
  <c r="H12"/>
  <c r="G15" i="8"/>
  <c r="G25"/>
  <c r="H10" i="21"/>
  <c r="H12"/>
  <c r="H14"/>
  <c r="H16"/>
  <c r="H19"/>
  <c r="H21"/>
  <c r="H23"/>
  <c r="H25"/>
  <c r="H27"/>
  <c r="H29"/>
  <c r="H17"/>
  <c r="H9"/>
  <c r="H11"/>
  <c r="H13"/>
  <c r="H15"/>
  <c r="H18"/>
  <c r="H20"/>
  <c r="H22"/>
  <c r="H24"/>
  <c r="H26"/>
  <c r="H28"/>
  <c r="G30" i="20"/>
  <c r="H7" s="1"/>
  <c r="G30" i="19"/>
  <c r="H7" s="1"/>
  <c r="H8" i="18"/>
  <c r="H10"/>
  <c r="H12"/>
  <c r="H14"/>
  <c r="H16"/>
  <c r="H18"/>
  <c r="H20"/>
  <c r="H22"/>
  <c r="H24"/>
  <c r="H26"/>
  <c r="H28"/>
  <c r="H30"/>
  <c r="H9"/>
  <c r="H11"/>
  <c r="H13"/>
  <c r="H15"/>
  <c r="H17"/>
  <c r="H19"/>
  <c r="H21"/>
  <c r="H23"/>
  <c r="H25"/>
  <c r="H27"/>
  <c r="H29"/>
  <c r="H7" i="17"/>
  <c r="H9"/>
  <c r="H11"/>
  <c r="H13"/>
  <c r="H15"/>
  <c r="H17"/>
  <c r="H19"/>
  <c r="H21"/>
  <c r="H23"/>
  <c r="H25"/>
  <c r="H27"/>
  <c r="H29"/>
  <c r="H8"/>
  <c r="H10"/>
  <c r="H12"/>
  <c r="H14"/>
  <c r="H16"/>
  <c r="H18"/>
  <c r="H20"/>
  <c r="H22"/>
  <c r="H24"/>
  <c r="H26"/>
  <c r="H28"/>
  <c r="G30" i="16"/>
  <c r="H8" s="1"/>
  <c r="H21" i="15"/>
  <c r="H20"/>
  <c r="H28"/>
  <c r="H13"/>
  <c r="H29"/>
  <c r="H30"/>
  <c r="H14"/>
  <c r="H24"/>
  <c r="H9"/>
  <c r="H17"/>
  <c r="H25"/>
  <c r="H8"/>
  <c r="H18"/>
  <c r="H26"/>
  <c r="H12"/>
  <c r="H22"/>
  <c r="H11"/>
  <c r="H19"/>
  <c r="H16"/>
  <c r="H15"/>
  <c r="H23"/>
  <c r="H27"/>
  <c r="N22" i="5"/>
  <c r="T22"/>
  <c r="R14"/>
  <c r="H18" i="14"/>
  <c r="H10"/>
  <c r="H26"/>
  <c r="H13"/>
  <c r="H21"/>
  <c r="H29"/>
  <c r="H12"/>
  <c r="H20"/>
  <c r="H28"/>
  <c r="H15"/>
  <c r="H14"/>
  <c r="H22"/>
  <c r="H9"/>
  <c r="H17"/>
  <c r="H25"/>
  <c r="H8"/>
  <c r="H16"/>
  <c r="H24"/>
  <c r="H11"/>
  <c r="H19"/>
  <c r="H23"/>
  <c r="H27"/>
  <c r="H12" i="13"/>
  <c r="H10"/>
  <c r="H13"/>
  <c r="H11"/>
  <c r="H9"/>
  <c r="H20"/>
  <c r="H8"/>
  <c r="H7"/>
  <c r="H28"/>
  <c r="H15"/>
  <c r="H16"/>
  <c r="H18"/>
  <c r="H24"/>
  <c r="H22"/>
  <c r="H19"/>
  <c r="H26"/>
  <c r="H23"/>
  <c r="H27"/>
  <c r="H29"/>
  <c r="H21"/>
  <c r="H17"/>
  <c r="H25"/>
  <c r="X9" i="10"/>
  <c r="F20" i="6"/>
  <c r="G19"/>
  <c r="G20"/>
  <c r="H19"/>
  <c r="H20"/>
  <c r="G15" i="4"/>
  <c r="G25"/>
  <c r="I8"/>
  <c r="F22" i="5"/>
  <c r="B22"/>
  <c r="F20" i="10"/>
  <c r="F12"/>
  <c r="L12" s="1"/>
  <c r="R10"/>
  <c r="R8"/>
  <c r="R18"/>
  <c r="K20"/>
  <c r="B12"/>
  <c r="B20"/>
  <c r="K19"/>
  <c r="R19" s="1"/>
  <c r="L20"/>
  <c r="R11"/>
  <c r="Q20"/>
  <c r="R20" s="1"/>
  <c r="L6"/>
  <c r="L7"/>
  <c r="L13"/>
  <c r="L14"/>
  <c r="L15"/>
  <c r="X17"/>
  <c r="W19"/>
  <c r="V22" i="5"/>
  <c r="W12" i="10"/>
  <c r="X12" s="1"/>
  <c r="W20"/>
  <c r="X6"/>
  <c r="P8" i="1"/>
  <c r="R8" s="1"/>
  <c r="N15"/>
  <c r="O8"/>
  <c r="G25"/>
  <c r="H8"/>
  <c r="M8" i="8"/>
  <c r="N8" s="1"/>
  <c r="G30" i="11"/>
  <c r="H30" s="1"/>
  <c r="H7" i="21"/>
  <c r="G30" i="12"/>
  <c r="H8" s="1"/>
  <c r="M25" i="8"/>
  <c r="N25" s="1"/>
  <c r="L25"/>
  <c r="J25"/>
  <c r="H25"/>
  <c r="K25"/>
  <c r="I25"/>
  <c r="G23"/>
  <c r="N23" s="1"/>
  <c r="E18" i="4"/>
  <c r="E20"/>
  <c r="E16"/>
  <c r="C8"/>
  <c r="E11"/>
  <c r="C15"/>
  <c r="E13"/>
  <c r="E9"/>
  <c r="E15"/>
  <c r="C21"/>
  <c r="C19"/>
  <c r="C17"/>
  <c r="C12"/>
  <c r="C10"/>
  <c r="F23"/>
  <c r="X9" i="5"/>
  <c r="X12"/>
  <c r="V14"/>
  <c r="X14" s="1"/>
  <c r="X8"/>
  <c r="X10"/>
  <c r="X11"/>
  <c r="X13"/>
  <c r="V21"/>
  <c r="X15"/>
  <c r="Z22"/>
  <c r="C22"/>
  <c r="R22"/>
  <c r="U21"/>
  <c r="R21"/>
  <c r="U22"/>
  <c r="G12" i="6"/>
  <c r="F19"/>
  <c r="H12"/>
  <c r="M15" i="8"/>
  <c r="N15" s="1"/>
  <c r="H30" i="22" l="1"/>
  <c r="H30" i="21"/>
  <c r="H28" i="20"/>
  <c r="H24"/>
  <c r="H26"/>
  <c r="H22"/>
  <c r="H14"/>
  <c r="H18"/>
  <c r="H10"/>
  <c r="H25"/>
  <c r="H17"/>
  <c r="H9"/>
  <c r="H20"/>
  <c r="H16"/>
  <c r="H12"/>
  <c r="H8"/>
  <c r="H29"/>
  <c r="H21"/>
  <c r="H13"/>
  <c r="H27"/>
  <c r="H23"/>
  <c r="H19"/>
  <c r="H15"/>
  <c r="H11"/>
  <c r="H28" i="19"/>
  <c r="H24"/>
  <c r="H20"/>
  <c r="H26"/>
  <c r="H22"/>
  <c r="H16"/>
  <c r="H8"/>
  <c r="H12"/>
  <c r="H27"/>
  <c r="H23"/>
  <c r="H18"/>
  <c r="H14"/>
  <c r="H10"/>
  <c r="H29"/>
  <c r="H25"/>
  <c r="H15"/>
  <c r="H19"/>
  <c r="H11"/>
  <c r="H21"/>
  <c r="H17"/>
  <c r="H13"/>
  <c r="H9"/>
  <c r="H31" i="18"/>
  <c r="H30" i="17"/>
  <c r="H27" i="16"/>
  <c r="H23"/>
  <c r="H29"/>
  <c r="H25"/>
  <c r="H19"/>
  <c r="H21"/>
  <c r="H15"/>
  <c r="H17"/>
  <c r="H13"/>
  <c r="H7"/>
  <c r="H11"/>
  <c r="H22"/>
  <c r="H26"/>
  <c r="H18"/>
  <c r="H9"/>
  <c r="H28"/>
  <c r="H24"/>
  <c r="H20"/>
  <c r="H14"/>
  <c r="H16"/>
  <c r="H12"/>
  <c r="H10"/>
  <c r="H31" i="15"/>
  <c r="H31" i="14"/>
  <c r="H30" i="13"/>
  <c r="I25" i="4"/>
  <c r="I15"/>
  <c r="K8"/>
  <c r="L19" i="10"/>
  <c r="X22" i="5"/>
  <c r="X19" i="10"/>
  <c r="X20"/>
  <c r="P25" i="1"/>
  <c r="H29" i="11"/>
  <c r="H17"/>
  <c r="H25"/>
  <c r="H26"/>
  <c r="H21"/>
  <c r="H13"/>
  <c r="H14"/>
  <c r="H9"/>
  <c r="H22"/>
  <c r="H7"/>
  <c r="H18"/>
  <c r="H10"/>
  <c r="H23"/>
  <c r="H27"/>
  <c r="H15"/>
  <c r="H19"/>
  <c r="H28"/>
  <c r="H11"/>
  <c r="H20"/>
  <c r="H12"/>
  <c r="H24"/>
  <c r="H16"/>
  <c r="H8"/>
  <c r="H28" i="12"/>
  <c r="H24"/>
  <c r="H20"/>
  <c r="H16"/>
  <c r="H11"/>
  <c r="H7"/>
  <c r="H27"/>
  <c r="H23"/>
  <c r="H19"/>
  <c r="H14"/>
  <c r="H10"/>
  <c r="H15"/>
  <c r="H26"/>
  <c r="H22"/>
  <c r="H18"/>
  <c r="H13"/>
  <c r="H9"/>
  <c r="H29"/>
  <c r="H25"/>
  <c r="H21"/>
  <c r="H17"/>
  <c r="H12"/>
  <c r="H15" i="1"/>
  <c r="O15"/>
  <c r="C23" i="4"/>
  <c r="E23"/>
  <c r="F25"/>
  <c r="H30" i="20" l="1"/>
  <c r="H30" i="19"/>
  <c r="H30" i="16"/>
  <c r="H25" i="1"/>
  <c r="R25"/>
  <c r="H30" i="12"/>
  <c r="H8" i="4"/>
  <c r="U6" i="6"/>
  <c r="J8" i="4"/>
  <c r="K15"/>
  <c r="K25"/>
  <c r="O25" i="1"/>
  <c r="C25" i="4"/>
  <c r="E25"/>
  <c r="J25" l="1"/>
  <c r="H25"/>
  <c r="H15"/>
  <c r="J15"/>
  <c r="U12" i="6"/>
  <c r="V12" s="1"/>
  <c r="V6"/>
  <c r="U20"/>
  <c r="V20" s="1"/>
</calcChain>
</file>

<file path=xl/sharedStrings.xml><?xml version="1.0" encoding="utf-8"?>
<sst xmlns="http://schemas.openxmlformats.org/spreadsheetml/2006/main" count="730" uniqueCount="151">
  <si>
    <t>ΜΗΝΑΣ</t>
  </si>
  <si>
    <t>ΛΕΥΚΩΣΙΑ</t>
  </si>
  <si>
    <t>ΛΑΡΝΑΚΑ</t>
  </si>
  <si>
    <t>ΠΑΡΑΛΙΜΝΙ</t>
  </si>
  <si>
    <t>ΛΕΜΕΣΟΣ</t>
  </si>
  <si>
    <t>ΠΑΦΟΣ</t>
  </si>
  <si>
    <t>ΣΥΝΟΛΟ</t>
  </si>
  <si>
    <t>ΑΥΓΟΥΣΤΟΣ</t>
  </si>
  <si>
    <t>ΠΟΣΟΣΤΙΑΙΑ</t>
  </si>
  <si>
    <t>ΑΥΞΗΣΗ</t>
  </si>
  <si>
    <t>ΑΝΔΡΕΣ</t>
  </si>
  <si>
    <t>ΓΥΝΑΙΚΕΣ</t>
  </si>
  <si>
    <t>ΠΟΣΟΣΤΟ</t>
  </si>
  <si>
    <t>ΓΕΝΙΚΟ</t>
  </si>
  <si>
    <t xml:space="preserve"> ΥΠΗΡΕΣΙΕΣ ΚΟΙΝΩΝΙΚΩΝ ΑΣΦΑΛΙΣΕΩΝ</t>
  </si>
  <si>
    <t>ΚΛΑΔΟΣ ΣΤΑΤΙΣΤΙΚΗΣ</t>
  </si>
  <si>
    <t>£</t>
  </si>
  <si>
    <t>Μ Η Ν Α Σ</t>
  </si>
  <si>
    <t>ΑΡΙΘΜΟΣ</t>
  </si>
  <si>
    <t>ΠΟΣΟ ΠΟΥ</t>
  </si>
  <si>
    <t>ΠΡΟΣΩΠΩΝ</t>
  </si>
  <si>
    <t>ΠΛΗΡΩΘΗΚΕ</t>
  </si>
  <si>
    <t>12356*</t>
  </si>
  <si>
    <t>ΙΑΝΟΥΑΡΙΟΣ</t>
  </si>
  <si>
    <t>ΦΕΒΡΟΥΑΡΙΟΣ</t>
  </si>
  <si>
    <t>ΜΑΡΤΙΟΣ</t>
  </si>
  <si>
    <t>ΑΠΡΙΛΙΟΣ</t>
  </si>
  <si>
    <t>ΜΑΪΟΣ</t>
  </si>
  <si>
    <t>ΙΟΥΝΙΟΣ</t>
  </si>
  <si>
    <t>ΙΟΥΛΙΟΣ</t>
  </si>
  <si>
    <t>ΣΕΠΤΕΜΒΡΙΟΣ</t>
  </si>
  <si>
    <t>ΟΚΤΩΒΡΙΟΣ</t>
  </si>
  <si>
    <t>ΝΟΕΜΒΡΙΟΣ</t>
  </si>
  <si>
    <t>ΔΕΚΕΜΒΡΙΟΣ</t>
  </si>
  <si>
    <t>ΠΛΗΡΩΘΗΚΕ*</t>
  </si>
  <si>
    <t xml:space="preserve">                ΚΛΑΔΟΣ ΣΤΑΤΙΣΤΙΚΗΣ</t>
  </si>
  <si>
    <t>% μεταβολής στον αρ. ατόμων 2009/2008</t>
  </si>
  <si>
    <t>% μεταβολής στον αρ. ατόμων 2010/2009</t>
  </si>
  <si>
    <t xml:space="preserve"> </t>
  </si>
  <si>
    <t>% μεταβολής στον αρ. ατόμων 2011/2010</t>
  </si>
  <si>
    <t>Εληνοκύπριοι και άλλοι</t>
  </si>
  <si>
    <t>Κοινοτικοί</t>
  </si>
  <si>
    <t xml:space="preserve">Τουρκοκύπριοι </t>
  </si>
  <si>
    <t>Σύνολο</t>
  </si>
  <si>
    <t xml:space="preserve">Αλλοδαποί </t>
  </si>
  <si>
    <t>*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t>
  </si>
  <si>
    <t>ΜΕΣΟΣ ΜΗΝΙΑΟΣ ΑΡΙΘΜΟΣ Α΄ ΕΞΑΜΗΝΟΥ</t>
  </si>
  <si>
    <t>ΜΕΣΟΣ ΜΗΝΙΑΙΟΣ ΑΡΙΘΜΟΣ Β΄ ΕΞΑΜΗΝΟΥ</t>
  </si>
  <si>
    <t>ΜΕΣΟΣ ΜΗΝΙΑΙΟΣ  ΑΡΙΘΜΟΣ ΧΡΟΝΟΥ</t>
  </si>
  <si>
    <t>ΜΕΣΟΣ ΜΗΝΙΑΙΟΣ ΑΡΙΘΜΟΣ Α΄ ΕΞΑΜΗΝΟΥ</t>
  </si>
  <si>
    <t>ΜΕΣΟΣ ΜΗΝΙΑΙΟΣ ΑΡΙΘΜΟΣ ΧΡΟΝΟΥ</t>
  </si>
  <si>
    <t xml:space="preserve">ΜΕΣΟΣ ΜΗΝΙΑΙΟΣ ΑΡΙΘΜΟΣ Β΄ ΕΞΑΜΗΝΟΥ </t>
  </si>
  <si>
    <t>ΜΕΣΟΣ ΜΗΝΙΑΙΟΣ ΑΡΙΘΜΟΣ ΕΤΟΥΣ</t>
  </si>
  <si>
    <t xml:space="preserve">ΜΕΣΟΣ ΜΗΝΙΑΙΟΣ ΑΡΙΘΜΟΣ Α΄ ΕΞΑΜΗΝΟΥ </t>
  </si>
  <si>
    <r>
      <t xml:space="preserve">ΠΙΝΑΚΑΣ ΣΤΟΝ ΟΠΟΙΟ ΦΑΙΝΕΤΑΙ Ο ΑΡΙΘΜΟΣ ΤΩΝ ΠΡΟΣΩΠΩΝ ΠΟΥ </t>
    </r>
    <r>
      <rPr>
        <b/>
        <sz val="10"/>
        <rFont val="Arial"/>
        <family val="2"/>
        <charset val="161"/>
      </rPr>
      <t xml:space="preserve">ΑΠΟΤΑΘΗΚΑΝ </t>
    </r>
  </si>
  <si>
    <t>ΑΤΟΜΩΝ</t>
  </si>
  <si>
    <t>ΜΕΣΟΣ ΜΗΝΙΑΙΟΣ ΑΡΙΘΜΟΣ ΑΤΟΜΩΝ ΚΑΙ ΣΥΝΟΛΙΚΟ ΠΟΣΟ ΠΛΗΡΩΜΗΣ Α΄ ΕΞΑΜΗΝΟΥ</t>
  </si>
  <si>
    <t>ΜΕΣΟΣ ΜΗΝΙΑΙΟΣ ΑΡΙΘΜΟΣ ΑΤΟΜΩΝ ΚΑΙ ΣΥΝΟΛΙΚΟ ΠΟΣΟ ΠΛΗΡΩΜΗΣ Β΄ ΕΞΑΜΗΝΟΥ</t>
  </si>
  <si>
    <t xml:space="preserve">                                           ΜΕΣΟΣ ΜΗΝΙΑΙΟΣ ΑΡΙΘΜΟΣ ΑΤΟΜΩΝ ΚΑΙ ΣΥΝΟΛΙΚΟ ΠΟΣΟ ΠΛΗΡΩΜΗΣ ΕΤΟΥΣ €</t>
  </si>
  <si>
    <t>2. Μέρος του ποσού αφορά αναδρομικές πληρωμές.</t>
  </si>
  <si>
    <t xml:space="preserve"> * Το ποσό πληρωμής αφορά τη μηνιαία δαπάνη του επιδόματος ανεργίας και όχι το ποσό που καταβλήθηκε στα πιο πάνω άτομα, για τους πιο κάτω λόγους:</t>
  </si>
  <si>
    <t>1. Οι δικαιούχοι δεν πληρώνονται απαραίτητα τον αντίστοιχο μήνα αναφοράς,</t>
  </si>
  <si>
    <t>ΕΤΗΣΙΑ ΔΑΠΑΝΗ €**</t>
  </si>
  <si>
    <t>ΠΟΣΟ ΠΛΗΡΩΜΗΣ* €</t>
  </si>
  <si>
    <t>% μεταβολής του συνόλου 2011/2010</t>
  </si>
  <si>
    <t>% μεταβολής στον αρ. ατόμων 2012/2011</t>
  </si>
  <si>
    <t>ΚΑΤΗΓΟΡΙΑ ΑΝΕΡΓΩΝ</t>
  </si>
  <si>
    <t>A/A</t>
  </si>
  <si>
    <t xml:space="preserve"> ΟΙΚΟΝΟΜΙΚΗ ΔΡΑΣΤΗΡΙΟΤΗΤΑ (NACE 2)</t>
  </si>
  <si>
    <t xml:space="preserve">      ΑΝΑΣΤΟΛΕΣ </t>
  </si>
  <si>
    <t xml:space="preserve">    ΤΕΡΜΑΤΙΣΜΟΙ </t>
  </si>
  <si>
    <t>ΜΕΤΑΠΟΙΗΣΗΣ</t>
  </si>
  <si>
    <t>ΤΟΥΡΙΣΤΙΚΗΣ ΒΙΟΜΗΧΑΝΙΑΣ</t>
  </si>
  <si>
    <t>ΑΛΛΟΙ</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</si>
  <si>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</si>
  <si>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</si>
  <si>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</si>
  <si>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</si>
  <si>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</si>
  <si>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</si>
  <si>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</si>
  <si>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</si>
  <si>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</si>
  <si>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</si>
  <si>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</si>
  <si>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</si>
  <si>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</si>
  <si>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</si>
  <si>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</si>
  <si>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</si>
  <si>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</si>
  <si>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</si>
  <si>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</si>
  <si>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</si>
  <si>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</si>
  <si>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</si>
  <si>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Λιμενεργάτες</t>
  </si>
  <si>
    <t>ΥΠΗΡΕΣΙΕΣ ΚΟΙΝΩΝΙΚΩΝ ΑΣΦΑΛΙΣΕΩΝ</t>
  </si>
  <si>
    <t>% μεταβολής του συνόλου 2012/2011</t>
  </si>
  <si>
    <t>% μεταβολής στον αρ. ατόμων 2013/2012</t>
  </si>
  <si>
    <t>Unemployment benefit by economic activity 2013</t>
  </si>
  <si>
    <t xml:space="preserve">Ποσοστό επί του συνόλου </t>
  </si>
  <si>
    <r>
      <t xml:space="preserve"> ΠΙΝΑΚΑΣ ΣΤΟΝ ΟΠΟΙΟ ΦΑΙΝΕΤΑΙ Ο ΑΡΙΘΜΟΣ ΤΩΝ ΠΡΟΣΩΠΩΝ ΠΟΥ </t>
    </r>
    <r>
      <rPr>
        <b/>
        <sz val="10"/>
        <rFont val="Arial"/>
        <family val="2"/>
        <charset val="161"/>
      </rPr>
      <t xml:space="preserve">ΑΠΟΤΑΘΗΚΑΝ  </t>
    </r>
    <r>
      <rPr>
        <sz val="10"/>
        <rFont val="Arial"/>
        <family val="2"/>
        <charset val="161"/>
      </rPr>
      <t xml:space="preserve">                                    </t>
    </r>
  </si>
  <si>
    <t>ΠΙΝΑΚΑΣ 1</t>
  </si>
  <si>
    <t>ΠΙΝΑΚΑΣ 2</t>
  </si>
  <si>
    <t>ΠΙΝΑΚΑΣ 3</t>
  </si>
  <si>
    <t>ΠΙΝΑΚΑΣ 4</t>
  </si>
  <si>
    <t>ΠΙΝΑΚΑΣ 5</t>
  </si>
  <si>
    <t>ΠΙΝΑΚΑΣ 6</t>
  </si>
  <si>
    <t>% μεταβολής του συνόλου 2013/2012</t>
  </si>
  <si>
    <t xml:space="preserve">UNEMPLOYMENT BENEFIT Y2010-2013 </t>
  </si>
  <si>
    <t xml:space="preserve">ΠΙΝΑΚΑΣ ΣΤΟΝ ΟΠΟΙΟ ΦΑΙΝΕΤΑΙ Ο ΑΡΙΘΜΟΣ ΤΩΝ ΠΡΟΣΩΠΩΝ ΠΟΥ ΑΠΟΤΑΘΗΚΑΝ </t>
  </si>
  <si>
    <t>ΠΙΝΑΚΑΣ 7.7</t>
  </si>
  <si>
    <t>ΠΙΝΑΚΑΣ 7.6</t>
  </si>
  <si>
    <t>ΠΙΝΑΚΑΣ 7.1</t>
  </si>
  <si>
    <t>ΠΙΝΑΚΑΣ 7.2</t>
  </si>
  <si>
    <t>ΠΙΝΑΚΑΣ 7.3</t>
  </si>
  <si>
    <t>ΠΙΝΑΚΑΣ 7.4</t>
  </si>
  <si>
    <t>ΠΙΝΑΚΑΣ 7.5</t>
  </si>
  <si>
    <t>ΠΙΝΑΚΑΣ 7.8</t>
  </si>
  <si>
    <t>ΠΙΝΑΚΑΣ 7.9</t>
  </si>
  <si>
    <t>ΠΙΝΑΚΑΣ 7.10</t>
  </si>
  <si>
    <t>ΠΙΝΑΚΑΣ 7.11</t>
  </si>
  <si>
    <t>ΠΟΣΟΣΤΟ ΕΠΙ ΤΟΥ ΣΥΝΟΛΟΥ</t>
  </si>
  <si>
    <t>% μεταβολής 2014/2013</t>
  </si>
  <si>
    <t xml:space="preserve">ΠΙΝΑΚΑΣ ΣΤΟΝ ΟΠΟΙΟ ΦΑΙΝΕΤΑΙ Ο ΑΡΙΘΜΟΣ ΤΩΝ ΔΙΚΑΙΟΥΧΩΝ ΕΠΙΔΟΜΑΤΟΣ ΑΝΕΡΓΙΑΣ ΚΑΙ ΤΟ ΠΟΣΟ ΠΛΗΡΩΜΗΣ* ΚΑΤΑ ΜΗΝΑ ΓΙΑ ΤΑ ΧΡΟΝΙΑ 2011 - 2014 </t>
  </si>
  <si>
    <t>UNEMPLOYMENT BENEFIT Y2008-2014</t>
  </si>
  <si>
    <t>% μεταβολής του συνόλου 2014/2013</t>
  </si>
  <si>
    <r>
      <t xml:space="preserve"> ΠΙΝΑΚΑΣ ΣΤΟΝ ΟΠΟΙΟ ΦΑΙΝΕΤΑΙ Ο ΑΡΙΘΜΟΣ </t>
    </r>
    <r>
      <rPr>
        <b/>
        <sz val="10"/>
        <rFont val="Arial"/>
        <family val="2"/>
        <charset val="161"/>
      </rPr>
      <t xml:space="preserve">ΤΩΝ ΔΙΚΑΙΟΥΧΩΝ </t>
    </r>
    <r>
      <rPr>
        <sz val="10"/>
        <rFont val="Arial"/>
        <family val="2"/>
        <charset val="161"/>
      </rPr>
      <t>ΕΠΙΔΟΜΑΤΟΣ ΑΝΕΡΓΙΑΣ ΑΠΟ ΤΟ ΤΑΜΕΙΟ ΚΟΙΝΩΝΙΚΩΝ ΑΣΦΑΛΙΣΕΩΝ, ΚΑΤΑ ΜΗΝΑ, ΚΟΙΝΟΤΗΤΑ ΚΑΙ ΚΑΤΑ ΧΡΟΝΟ ΓΙΑ ΤΑ ΧΡΟΝΙΑ 2013 -2014</t>
    </r>
  </si>
  <si>
    <t xml:space="preserve">ΓΙΑ ΕΠΙΔΟΜΑ ΑΝΕΡΓΙΑΣ ΚΑΤΑ ΦΥΛΟ ΚΑΙ ΜΗΝΑ ΓΙΑ ΤΑ ΧΡΟΝΙΑ 2013 ΚΑΙ 2014 </t>
  </si>
  <si>
    <t>ΓΙΑ ΕΠΙΔΟΜΑ ΑΝΕΡΓΙΑΣ ΓΙΑ ΤΑ ΧΡΟΝΙΑ 2013 ΚΑΙ 2014 ΚΑΤΑ ΕΠΑΡΧΙΑ ΚΑΙ ΜΗΝΑ</t>
  </si>
  <si>
    <t xml:space="preserve">      ΓΙΑ ΕΠΙΔΟΜΑ ΑΝΕΡΓΙΑΣ ΤΟ 2014 ΚΑΤΑ ΕΠΑΡΧΙΑ, ΦΥΛΟ ΚΑΙ ΜΗΝΑ  </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</si>
  <si>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τον Ιανουάριο του 2014 </t>
  </si>
  <si>
    <t>Unemployment benefit by economic activity 2014</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</si>
  <si>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 Φεβρουάριο του 2014 </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</si>
  <si>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 Μάρτιο του 2014 </t>
  </si>
  <si>
    <t xml:space="preserve">         Πίνακας στον οποίο φαίνεται ο αριθμός των ατόμων που αποτάθηκαν για επίδομα ανεργίας κατά οικονομική δραστηριότητα και κατάσταση ανέργου, τον Απρίλιο του 2014</t>
  </si>
  <si>
    <t xml:space="preserve">         Πίνακας στον οποίο φαίνεται ο αριθμός των ατόμων που αποτάθηκαν για επίδομα ανεργίας κατά οικονομική δραστηριότητα και κατάσταση ανέργου, τον Μάϊο του 2014</t>
  </si>
  <si>
    <t>Πίνακας στον οποίο φαίνεται ο αριθμός των ατόμων που αποτάθηκαν για επίδομα ανεργίας κατά οικονομική δραστηριότητα και κατάσταση ανέργου, τον Ιούνιο του 2014</t>
  </si>
  <si>
    <t>Unemployment benefit by economic activity 2014 (Jan-June)</t>
  </si>
  <si>
    <t>Πίνακας στον οποίο φαίνεται ο αριθμός των ατόμων που αποτάθηκαν για επίδομα ανεργίας κατά οικονομική δραστηριότητα και κατάσταση ανέργου, τον Ιούλιο του 2014</t>
  </si>
  <si>
    <t>Unemployment benefit by economic activity 2014 (Jan-Dec)</t>
  </si>
  <si>
    <t>Πίνακας στον οποίο φαίνεται ο αριθμός των ατόμων που αποτάθηκαν για επίδομα ανεργίας κατά οικονομική δραστηριότητα και κατάσταση ανέργου, τον Αύγουστο του 2014</t>
  </si>
  <si>
    <t>Πίνακας στον οποίο φαίνεται ο αριθμός των ατόμων που αποτάθηκαν για επίδομα ανεργίας κατά οικονομική δραστηριότητα και κατάσταση ανέργου, το Σεπτέμβριο του 2014</t>
  </si>
  <si>
    <t>Πίνακας στον οποίο φαίνεται ο αριθμός των ατόμων που αποτάθηκαν για επίδομα ανεργίας κατά οικονομική δραστηριότητα και κατάσταση ανέργου, τον Οκτώβριο του 2014</t>
  </si>
  <si>
    <t>Πίνακας στον οποίο φαίνεται ο αριθμός των ατόμων που αποτάθηκαν για επίδομα ανεργίας κατά οικονομική δραστηριότητα και κατάσταση ανέργου, το Νοέμβριο του 2014</t>
  </si>
  <si>
    <t>Πίνακας στον οποίο φαίνεται ο αριθμός των ατόμων που αποτάθηκαν για επίδομα ανεργίας κατά οικονομική δραστηριότητα και κατάσταση ανέργου, το Δεκέμβριο του 2014</t>
  </si>
  <si>
    <t>Μ.Δ.</t>
  </si>
  <si>
    <t>% μεταβολής στον αρ. ατόμων 2014/2013</t>
  </si>
  <si>
    <r>
      <t xml:space="preserve"> ΠΙΝΑΚΑΣ ΣΤΟΝ ΟΠΟΙΟ ΦΑΙΝΕΤΑΙ Ο ΑΡΙΘΜΟΣ ΤΩΝ ΑΤΟΜΩΝ ΠΟΥ </t>
    </r>
    <r>
      <rPr>
        <b/>
        <sz val="10"/>
        <rFont val="Arial"/>
        <family val="2"/>
        <charset val="161"/>
      </rPr>
      <t>ΑΠΟΤΑΘΗΚΑΝ</t>
    </r>
    <r>
      <rPr>
        <sz val="10"/>
        <rFont val="Arial"/>
        <family val="2"/>
        <charset val="161"/>
      </rPr>
      <t xml:space="preserve"> ΓΙΑ ΕΠΙΔΟΜΑ ΑΝΕΡΓΙΑΣ ΚΑΤΑ ΜΗΝΑ ΚΑΙ ΧΡΟΝΟ ΓΙΑ ΤΑ ΧΡΟΝΙΑ 1995 - 2014</t>
    </r>
  </si>
  <si>
    <t xml:space="preserve">**  Η ετήσια δαπάνη είναι σύμφωνα με τους τελικούς λογαριασμούς του Ταμείου Κοινωνικών Ασφαλίσεων. Το ετήσιο ποσό του 2013 και 2014 διαφέρει από τη μηνιαία δαπάνη γιατί περιλαμβάνει και τις αποδόσεις των δαπανών ανεργίας σε / από άλλες χώρες της Ε.Ε. με βάση τον Κανονισμό. </t>
  </si>
</sst>
</file>

<file path=xl/styles.xml><?xml version="1.0" encoding="utf-8"?>
<styleSheet xmlns="http://schemas.openxmlformats.org/spreadsheetml/2006/main">
  <numFmts count="6">
    <numFmt numFmtId="164" formatCode="_-* #,##0_-;\-* #,##0_-;_-* &quot;-&quot;_-;_-@_-"/>
    <numFmt numFmtId="165" formatCode="_-* #,##0\ _Δ_ρ_χ_-;\-* #,##0\ _Δ_ρ_χ_-;_-* &quot;-&quot;\ _Δ_ρ_χ_-;_-@_-"/>
    <numFmt numFmtId="166" formatCode="0.0%"/>
    <numFmt numFmtId="167" formatCode="[$-408]d\-mmm\-yy;@"/>
    <numFmt numFmtId="168" formatCode="[$-408]dd\-mmm\-yy;@"/>
    <numFmt numFmtId="169" formatCode="[$€-2]\ #,##0;[Red]\-[$€-2]\ #,##0"/>
  </numFmts>
  <fonts count="25">
    <font>
      <sz val="10"/>
      <name val="Arial"/>
      <charset val="161"/>
    </font>
    <font>
      <sz val="10"/>
      <name val="Arial"/>
      <family val="2"/>
      <charset val="161"/>
    </font>
    <font>
      <sz val="9"/>
      <name val="Arial"/>
      <family val="2"/>
    </font>
    <font>
      <b/>
      <sz val="9"/>
      <name val="Arial"/>
      <family val="2"/>
    </font>
    <font>
      <b/>
      <sz val="10"/>
      <name val="Arial"/>
      <family val="2"/>
    </font>
    <font>
      <sz val="10"/>
      <name val="Arial"/>
      <family val="2"/>
    </font>
    <font>
      <sz val="8"/>
      <name val="Arial"/>
      <family val="2"/>
    </font>
    <font>
      <b/>
      <sz val="8"/>
      <name val="Arial"/>
      <family val="2"/>
    </font>
    <font>
      <sz val="11"/>
      <name val="Arial"/>
      <family val="2"/>
    </font>
    <font>
      <b/>
      <sz val="11"/>
      <name val="Arial"/>
      <family val="2"/>
    </font>
    <font>
      <sz val="8"/>
      <name val="Arial"/>
      <family val="2"/>
      <charset val="161"/>
    </font>
    <font>
      <b/>
      <sz val="10"/>
      <name val="Arial"/>
      <family val="2"/>
      <charset val="161"/>
    </font>
    <font>
      <b/>
      <u/>
      <sz val="10"/>
      <name val="Arial"/>
      <family val="2"/>
      <charset val="161"/>
    </font>
    <font>
      <sz val="9"/>
      <name val="Arial"/>
      <family val="2"/>
      <charset val="161"/>
    </font>
    <font>
      <b/>
      <sz val="9"/>
      <name val="Arial"/>
      <family val="2"/>
      <charset val="161"/>
    </font>
    <font>
      <b/>
      <sz val="8"/>
      <name val="Arial"/>
      <family val="2"/>
      <charset val="161"/>
    </font>
    <font>
      <b/>
      <sz val="9"/>
      <name val="Arial"/>
      <family val="2"/>
      <charset val="161"/>
    </font>
    <font>
      <sz val="10"/>
      <name val="Arial"/>
      <family val="2"/>
      <charset val="161"/>
    </font>
    <font>
      <sz val="9"/>
      <name val="Arial"/>
      <family val="2"/>
      <charset val="161"/>
    </font>
    <font>
      <u/>
      <sz val="10"/>
      <name val="Arial"/>
      <family val="2"/>
      <charset val="161"/>
    </font>
    <font>
      <b/>
      <u/>
      <sz val="9"/>
      <name val="Arial"/>
      <family val="2"/>
      <charset val="161"/>
    </font>
    <font>
      <b/>
      <u/>
      <sz val="12"/>
      <name val="Arial"/>
      <family val="2"/>
    </font>
    <font>
      <sz val="11"/>
      <name val="Arial"/>
      <family val="2"/>
      <charset val="161"/>
    </font>
    <font>
      <sz val="12"/>
      <name val="Arial"/>
      <family val="2"/>
      <charset val="161"/>
    </font>
    <font>
      <b/>
      <sz val="11"/>
      <name val="Arial"/>
      <family val="2"/>
      <charset val="161"/>
    </font>
  </fonts>
  <fills count="2">
    <fill>
      <patternFill patternType="none"/>
    </fill>
    <fill>
      <patternFill patternType="gray125"/>
    </fill>
  </fills>
  <borders count="8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7" fillId="0" borderId="0"/>
    <xf numFmtId="9" fontId="1" fillId="0" borderId="0" applyFont="0" applyFill="0" applyBorder="0" applyAlignment="0" applyProtection="0"/>
  </cellStyleXfs>
  <cellXfs count="62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6" fillId="0" borderId="1" xfId="0" applyFont="1" applyBorder="1"/>
    <xf numFmtId="0" fontId="6" fillId="0" borderId="2" xfId="0" applyFont="1" applyBorder="1"/>
    <xf numFmtId="0" fontId="6" fillId="0" borderId="0" xfId="0" applyFont="1"/>
    <xf numFmtId="1" fontId="2" fillId="0" borderId="3" xfId="0" applyNumberFormat="1" applyFont="1" applyBorder="1"/>
    <xf numFmtId="1" fontId="2" fillId="0" borderId="4" xfId="0" applyNumberFormat="1" applyFont="1" applyBorder="1"/>
    <xf numFmtId="0" fontId="8" fillId="0" borderId="0" xfId="0" applyFont="1"/>
    <xf numFmtId="0" fontId="2" fillId="0" borderId="5" xfId="0" applyFont="1" applyBorder="1"/>
    <xf numFmtId="0" fontId="3" fillId="0" borderId="5" xfId="0" applyFont="1" applyBorder="1" applyAlignment="1">
      <alignment horizontal="center"/>
    </xf>
    <xf numFmtId="0" fontId="2" fillId="0" borderId="6" xfId="0" applyFont="1" applyBorder="1"/>
    <xf numFmtId="0" fontId="7" fillId="0" borderId="6" xfId="0" applyFont="1" applyBorder="1"/>
    <xf numFmtId="0" fontId="4" fillId="0" borderId="0" xfId="0" applyFont="1" applyBorder="1"/>
    <xf numFmtId="0" fontId="2" fillId="0" borderId="0" xfId="0" applyFont="1" applyBorder="1"/>
    <xf numFmtId="0" fontId="7" fillId="0" borderId="7" xfId="0" applyFont="1" applyBorder="1"/>
    <xf numFmtId="0" fontId="2" fillId="0" borderId="3" xfId="0" applyFont="1" applyBorder="1"/>
    <xf numFmtId="0" fontId="3" fillId="0" borderId="0" xfId="0" applyFont="1" applyBorder="1"/>
    <xf numFmtId="0" fontId="2" fillId="0" borderId="1" xfId="0" applyFont="1" applyBorder="1"/>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0" fillId="0" borderId="0" xfId="0" applyBorder="1"/>
    <xf numFmtId="166" fontId="2" fillId="0" borderId="11" xfId="2" applyNumberFormat="1" applyFont="1" applyBorder="1"/>
    <xf numFmtId="0" fontId="2" fillId="0" borderId="11" xfId="0" applyFont="1" applyBorder="1"/>
    <xf numFmtId="0" fontId="2" fillId="0" borderId="12" xfId="0" applyFont="1" applyBorder="1"/>
    <xf numFmtId="166" fontId="2" fillId="0" borderId="0" xfId="2" applyNumberFormat="1" applyFont="1" applyBorder="1"/>
    <xf numFmtId="0" fontId="2" fillId="0" borderId="13" xfId="0" applyFont="1" applyBorder="1"/>
    <xf numFmtId="0" fontId="2" fillId="0" borderId="14" xfId="0" applyFont="1" applyBorder="1"/>
    <xf numFmtId="1" fontId="2" fillId="0" borderId="1" xfId="0" applyNumberFormat="1" applyFont="1" applyBorder="1"/>
    <xf numFmtId="0" fontId="2" fillId="0" borderId="0" xfId="0" applyFont="1" applyBorder="1" applyAlignment="1">
      <alignment horizontal="left"/>
    </xf>
    <xf numFmtId="0" fontId="2" fillId="0" borderId="0" xfId="0" applyFont="1" applyBorder="1" applyAlignment="1">
      <alignment horizontal="right"/>
    </xf>
    <xf numFmtId="0" fontId="5" fillId="0" borderId="0" xfId="0" applyFont="1" applyBorder="1"/>
    <xf numFmtId="0" fontId="2" fillId="0" borderId="15" xfId="0" applyFont="1" applyBorder="1" applyAlignment="1">
      <alignment horizontal="center"/>
    </xf>
    <xf numFmtId="0" fontId="2" fillId="0" borderId="16" xfId="0" applyFont="1" applyBorder="1" applyAlignment="1">
      <alignment horizontal="center"/>
    </xf>
    <xf numFmtId="167" fontId="0" fillId="0" borderId="0" xfId="0" applyNumberFormat="1" applyAlignment="1">
      <alignment horizontal="left"/>
    </xf>
    <xf numFmtId="167" fontId="8" fillId="0" borderId="0" xfId="0" applyNumberFormat="1" applyFont="1" applyAlignment="1">
      <alignment horizontal="left"/>
    </xf>
    <xf numFmtId="168" fontId="5" fillId="0" borderId="0" xfId="0" applyNumberFormat="1" applyFont="1" applyAlignment="1">
      <alignment horizontal="left"/>
    </xf>
    <xf numFmtId="167" fontId="5" fillId="0" borderId="0" xfId="0" applyNumberFormat="1" applyFont="1" applyAlignment="1">
      <alignment horizontal="left"/>
    </xf>
    <xf numFmtId="0" fontId="2" fillId="0" borderId="17" xfId="0" applyFont="1" applyBorder="1"/>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1" fontId="2" fillId="0" borderId="9" xfId="0" applyNumberFormat="1" applyFont="1" applyBorder="1" applyAlignment="1">
      <alignment horizontal="center"/>
    </xf>
    <xf numFmtId="1" fontId="2" fillId="0" borderId="10" xfId="0" applyNumberFormat="1" applyFont="1" applyBorder="1" applyAlignment="1">
      <alignment horizontal="center"/>
    </xf>
    <xf numFmtId="0" fontId="11" fillId="0" borderId="0" xfId="0" applyFont="1"/>
    <xf numFmtId="0" fontId="11" fillId="0" borderId="0" xfId="0" applyFont="1" applyBorder="1"/>
    <xf numFmtId="0" fontId="11" fillId="0" borderId="0" xfId="0" applyFont="1" applyAlignment="1"/>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4" fillId="0" borderId="0" xfId="0" applyFont="1" applyAlignment="1"/>
    <xf numFmtId="0" fontId="2" fillId="0" borderId="23" xfId="0" applyFont="1" applyBorder="1"/>
    <xf numFmtId="0" fontId="2" fillId="0" borderId="23" xfId="0" applyFont="1" applyBorder="1" applyAlignment="1">
      <alignment horizontal="center"/>
    </xf>
    <xf numFmtId="0" fontId="2" fillId="0" borderId="6"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1" fontId="2" fillId="0" borderId="5" xfId="0" applyNumberFormat="1" applyFont="1" applyBorder="1" applyAlignment="1">
      <alignment horizontal="center"/>
    </xf>
    <xf numFmtId="0" fontId="2" fillId="0" borderId="27" xfId="0" applyFont="1" applyBorder="1" applyAlignment="1">
      <alignment horizontal="center"/>
    </xf>
    <xf numFmtId="0" fontId="6" fillId="0" borderId="23" xfId="0" applyFont="1" applyBorder="1" applyAlignment="1">
      <alignment horizontal="center"/>
    </xf>
    <xf numFmtId="0" fontId="2" fillId="0" borderId="25" xfId="0" applyFont="1" applyBorder="1"/>
    <xf numFmtId="0" fontId="6" fillId="0" borderId="6" xfId="0" applyFont="1" applyBorder="1"/>
    <xf numFmtId="166" fontId="2" fillId="0" borderId="4" xfId="2" applyNumberFormat="1" applyFont="1" applyBorder="1" applyAlignment="1">
      <alignment horizontal="center"/>
    </xf>
    <xf numFmtId="0" fontId="6" fillId="0" borderId="28" xfId="0" applyFont="1" applyBorder="1" applyAlignment="1">
      <alignment horizontal="center"/>
    </xf>
    <xf numFmtId="0" fontId="2" fillId="0" borderId="17" xfId="0" applyFont="1" applyBorder="1" applyAlignment="1">
      <alignment horizontal="center"/>
    </xf>
    <xf numFmtId="0" fontId="13" fillId="0" borderId="29" xfId="0" applyFont="1" applyBorder="1"/>
    <xf numFmtId="0" fontId="14" fillId="0" borderId="30" xfId="0" applyFont="1" applyBorder="1" applyAlignment="1">
      <alignment horizontal="center"/>
    </xf>
    <xf numFmtId="0" fontId="14" fillId="0" borderId="31" xfId="0" applyFont="1" applyBorder="1" applyAlignment="1">
      <alignment horizontal="center"/>
    </xf>
    <xf numFmtId="165" fontId="13" fillId="0" borderId="32" xfId="0" applyNumberFormat="1" applyFont="1" applyBorder="1"/>
    <xf numFmtId="165" fontId="13" fillId="0" borderId="33" xfId="0" applyNumberFormat="1" applyFont="1" applyBorder="1"/>
    <xf numFmtId="0" fontId="13" fillId="0" borderId="0" xfId="0" applyFont="1"/>
    <xf numFmtId="167" fontId="13" fillId="0" borderId="0" xfId="0" applyNumberFormat="1" applyFont="1" applyAlignment="1">
      <alignment horizontal="left"/>
    </xf>
    <xf numFmtId="0" fontId="10" fillId="0" borderId="1" xfId="0" applyFont="1" applyBorder="1" applyAlignment="1">
      <alignment horizontal="center"/>
    </xf>
    <xf numFmtId="0" fontId="10" fillId="0" borderId="34" xfId="0" applyFont="1" applyBorder="1"/>
    <xf numFmtId="0" fontId="10" fillId="0" borderId="3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9" xfId="0" applyFont="1" applyBorder="1"/>
    <xf numFmtId="0" fontId="10" fillId="0" borderId="4" xfId="0" applyFont="1" applyBorder="1" applyAlignment="1">
      <alignment horizontal="center"/>
    </xf>
    <xf numFmtId="0" fontId="15" fillId="0" borderId="4" xfId="0" applyFont="1" applyBorder="1" applyAlignment="1">
      <alignment horizontal="center"/>
    </xf>
    <xf numFmtId="0" fontId="16" fillId="0" borderId="16" xfId="0" applyFont="1" applyBorder="1" applyAlignment="1">
      <alignment horizontal="center"/>
    </xf>
    <xf numFmtId="0" fontId="16" fillId="0" borderId="15" xfId="0" applyFont="1" applyBorder="1" applyAlignment="1">
      <alignment horizontal="center"/>
    </xf>
    <xf numFmtId="0" fontId="16" fillId="0" borderId="0" xfId="0" applyFont="1" applyBorder="1" applyAlignment="1">
      <alignment horizontal="center"/>
    </xf>
    <xf numFmtId="165" fontId="18" fillId="0" borderId="32" xfId="0" applyNumberFormat="1" applyFont="1" applyBorder="1"/>
    <xf numFmtId="165" fontId="18" fillId="0" borderId="33" xfId="0" applyNumberFormat="1" applyFont="1" applyBorder="1"/>
    <xf numFmtId="0" fontId="10" fillId="0" borderId="36" xfId="0" applyFont="1" applyBorder="1"/>
    <xf numFmtId="0" fontId="19" fillId="0" borderId="0" xfId="0" applyFont="1"/>
    <xf numFmtId="165" fontId="18" fillId="0" borderId="37" xfId="0" applyNumberFormat="1" applyFont="1" applyBorder="1"/>
    <xf numFmtId="166" fontId="2" fillId="0" borderId="19" xfId="2" applyNumberFormat="1" applyFont="1" applyBorder="1"/>
    <xf numFmtId="0" fontId="14" fillId="0" borderId="0" xfId="0" applyFont="1" applyAlignment="1">
      <alignment horizontal="center"/>
    </xf>
    <xf numFmtId="0" fontId="13" fillId="0" borderId="0" xfId="0" applyFont="1" applyAlignment="1"/>
    <xf numFmtId="0" fontId="14" fillId="0" borderId="0" xfId="0" applyFont="1" applyAlignment="1"/>
    <xf numFmtId="0" fontId="14" fillId="0" borderId="0" xfId="0" applyFont="1" applyAlignment="1">
      <alignment horizontal="left"/>
    </xf>
    <xf numFmtId="0" fontId="20" fillId="0" borderId="0" xfId="0" applyFont="1"/>
    <xf numFmtId="166" fontId="0" fillId="0" borderId="0" xfId="0" applyNumberFormat="1"/>
    <xf numFmtId="0" fontId="3" fillId="0" borderId="6" xfId="0" applyFont="1" applyBorder="1"/>
    <xf numFmtId="0" fontId="3" fillId="0" borderId="7" xfId="0" applyFont="1" applyBorder="1" applyAlignment="1">
      <alignment horizontal="center"/>
    </xf>
    <xf numFmtId="0" fontId="2" fillId="0" borderId="4" xfId="0" applyFont="1" applyBorder="1" applyAlignment="1">
      <alignment horizontal="center"/>
    </xf>
    <xf numFmtId="14" fontId="0" fillId="0" borderId="0" xfId="0" applyNumberFormat="1" applyAlignment="1">
      <alignment horizontal="left"/>
    </xf>
    <xf numFmtId="0" fontId="17" fillId="0" borderId="0" xfId="0" applyFont="1"/>
    <xf numFmtId="1" fontId="14" fillId="0" borderId="38" xfId="0" applyNumberFormat="1" applyFont="1" applyBorder="1" applyAlignment="1">
      <alignment horizontal="center"/>
    </xf>
    <xf numFmtId="0" fontId="13" fillId="0" borderId="0" xfId="0" applyFont="1" applyBorder="1" applyAlignment="1">
      <alignment horizontal="left" wrapText="1"/>
    </xf>
    <xf numFmtId="0" fontId="6" fillId="0" borderId="27" xfId="0" applyFont="1" applyBorder="1"/>
    <xf numFmtId="0" fontId="6" fillId="0" borderId="34" xfId="0" applyFont="1" applyBorder="1"/>
    <xf numFmtId="0" fontId="6" fillId="0" borderId="0" xfId="0" applyFont="1" applyBorder="1"/>
    <xf numFmtId="166" fontId="2" fillId="0" borderId="7" xfId="2" applyNumberFormat="1" applyFont="1" applyBorder="1" applyAlignment="1">
      <alignment horizontal="center"/>
    </xf>
    <xf numFmtId="166" fontId="2" fillId="0" borderId="6" xfId="2" applyNumberFormat="1" applyFont="1" applyBorder="1" applyAlignment="1">
      <alignment horizontal="center"/>
    </xf>
    <xf numFmtId="1" fontId="2" fillId="0" borderId="39" xfId="0" applyNumberFormat="1" applyFont="1" applyBorder="1" applyAlignment="1">
      <alignment horizontal="center"/>
    </xf>
    <xf numFmtId="166" fontId="2" fillId="0" borderId="6" xfId="0" applyNumberFormat="1" applyFont="1" applyBorder="1" applyAlignment="1">
      <alignment horizontal="center"/>
    </xf>
    <xf numFmtId="166" fontId="2" fillId="0" borderId="4" xfId="0" applyNumberFormat="1" applyFont="1" applyBorder="1" applyAlignment="1">
      <alignment horizontal="center"/>
    </xf>
    <xf numFmtId="166" fontId="2" fillId="0" borderId="37" xfId="2" applyNumberFormat="1" applyFont="1" applyBorder="1" applyAlignment="1">
      <alignment horizontal="center"/>
    </xf>
    <xf numFmtId="1" fontId="14" fillId="0" borderId="3" xfId="0" applyNumberFormat="1" applyFont="1" applyBorder="1"/>
    <xf numFmtId="166" fontId="14" fillId="0" borderId="10" xfId="2" applyNumberFormat="1" applyFont="1" applyBorder="1"/>
    <xf numFmtId="1" fontId="14" fillId="0" borderId="4" xfId="0" applyNumberFormat="1" applyFont="1" applyBorder="1"/>
    <xf numFmtId="0" fontId="5" fillId="0" borderId="14" xfId="0" applyFont="1" applyBorder="1" applyAlignment="1">
      <alignment horizontal="center"/>
    </xf>
    <xf numFmtId="0" fontId="2" fillId="0" borderId="19" xfId="0" applyFont="1" applyBorder="1"/>
    <xf numFmtId="166" fontId="2" fillId="0" borderId="40" xfId="0" applyNumberFormat="1" applyFont="1" applyBorder="1"/>
    <xf numFmtId="166" fontId="2" fillId="0" borderId="6" xfId="0" applyNumberFormat="1" applyFont="1" applyBorder="1"/>
    <xf numFmtId="0" fontId="6" fillId="0" borderId="27" xfId="0" applyFont="1" applyBorder="1" applyAlignment="1">
      <alignment horizontal="center"/>
    </xf>
    <xf numFmtId="0" fontId="6" fillId="0" borderId="7" xfId="0" applyFont="1" applyBorder="1" applyAlignment="1">
      <alignment horizontal="center"/>
    </xf>
    <xf numFmtId="0" fontId="5" fillId="0" borderId="13" xfId="0" applyFont="1" applyBorder="1" applyAlignment="1">
      <alignment horizontal="center"/>
    </xf>
    <xf numFmtId="0" fontId="3" fillId="0" borderId="34" xfId="0" applyFont="1" applyBorder="1" applyAlignment="1">
      <alignment horizontal="left"/>
    </xf>
    <xf numFmtId="0" fontId="2" fillId="0" borderId="43" xfId="0" applyFont="1" applyBorder="1"/>
    <xf numFmtId="0" fontId="3" fillId="0" borderId="43" xfId="0" applyFont="1" applyBorder="1" applyAlignment="1">
      <alignment horizontal="center"/>
    </xf>
    <xf numFmtId="0" fontId="3" fillId="0" borderId="41" xfId="0" applyFont="1" applyBorder="1"/>
    <xf numFmtId="0" fontId="15" fillId="0" borderId="44" xfId="0" applyFont="1" applyBorder="1" applyAlignment="1">
      <alignment wrapText="1"/>
    </xf>
    <xf numFmtId="0" fontId="13" fillId="0" borderId="0" xfId="0" applyFont="1" applyAlignment="1">
      <alignment horizontal="center"/>
    </xf>
    <xf numFmtId="0" fontId="13" fillId="0" borderId="0" xfId="0" applyFont="1" applyAlignment="1">
      <alignment horizontal="left"/>
    </xf>
    <xf numFmtId="165" fontId="13" fillId="0" borderId="37" xfId="0" applyNumberFormat="1" applyFont="1" applyBorder="1"/>
    <xf numFmtId="165" fontId="13" fillId="0" borderId="12" xfId="0" applyNumberFormat="1" applyFont="1" applyBorder="1" applyAlignment="1">
      <alignment horizontal="center"/>
    </xf>
    <xf numFmtId="0" fontId="17" fillId="0" borderId="0" xfId="0" applyFont="1" applyAlignment="1"/>
    <xf numFmtId="0" fontId="10" fillId="0" borderId="29" xfId="0" applyFont="1" applyBorder="1"/>
    <xf numFmtId="0" fontId="10" fillId="0" borderId="45" xfId="0" applyFont="1" applyBorder="1"/>
    <xf numFmtId="165" fontId="13" fillId="0" borderId="46" xfId="0" applyNumberFormat="1" applyFont="1" applyBorder="1"/>
    <xf numFmtId="165" fontId="18" fillId="0" borderId="46" xfId="0" applyNumberFormat="1" applyFont="1" applyBorder="1"/>
    <xf numFmtId="0" fontId="15" fillId="0" borderId="30" xfId="0" applyFont="1" applyBorder="1" applyAlignment="1">
      <alignment wrapText="1"/>
    </xf>
    <xf numFmtId="165" fontId="13" fillId="0" borderId="47" xfId="0" applyNumberFormat="1" applyFont="1" applyBorder="1" applyAlignment="1">
      <alignment horizontal="center"/>
    </xf>
    <xf numFmtId="1" fontId="13" fillId="0" borderId="34" xfId="0" applyNumberFormat="1" applyFont="1" applyBorder="1" applyAlignment="1">
      <alignment horizontal="center"/>
    </xf>
    <xf numFmtId="165" fontId="18" fillId="0" borderId="47" xfId="0" applyNumberFormat="1" applyFont="1" applyBorder="1" applyAlignment="1">
      <alignment horizontal="center"/>
    </xf>
    <xf numFmtId="165" fontId="14" fillId="0" borderId="7" xfId="0" applyNumberFormat="1" applyFont="1" applyBorder="1" applyAlignment="1">
      <alignment horizontal="center"/>
    </xf>
    <xf numFmtId="166" fontId="14" fillId="0" borderId="0" xfId="2" applyNumberFormat="1" applyFont="1" applyBorder="1" applyAlignment="1">
      <alignment horizontal="center"/>
    </xf>
    <xf numFmtId="166" fontId="14" fillId="0" borderId="7" xfId="2" applyNumberFormat="1" applyFont="1" applyBorder="1" applyAlignment="1">
      <alignment horizontal="center"/>
    </xf>
    <xf numFmtId="1" fontId="14" fillId="0" borderId="34" xfId="0" applyNumberFormat="1" applyFont="1" applyBorder="1" applyAlignment="1">
      <alignment horizontal="center"/>
    </xf>
    <xf numFmtId="1" fontId="18" fillId="0" borderId="34" xfId="0" applyNumberFormat="1" applyFont="1" applyBorder="1" applyAlignment="1">
      <alignment horizontal="center"/>
    </xf>
    <xf numFmtId="0" fontId="14" fillId="0" borderId="44" xfId="0" applyFont="1" applyBorder="1" applyAlignment="1">
      <alignment wrapText="1"/>
    </xf>
    <xf numFmtId="3" fontId="14" fillId="0" borderId="48" xfId="0" applyNumberFormat="1" applyFont="1" applyBorder="1" applyAlignment="1">
      <alignment wrapText="1"/>
    </xf>
    <xf numFmtId="165" fontId="14" fillId="0" borderId="49" xfId="0" applyNumberFormat="1" applyFont="1" applyBorder="1" applyAlignment="1"/>
    <xf numFmtId="1" fontId="14" fillId="0" borderId="1" xfId="0" applyNumberFormat="1" applyFont="1" applyBorder="1" applyAlignment="1">
      <alignment horizontal="center"/>
    </xf>
    <xf numFmtId="3" fontId="14" fillId="0" borderId="0" xfId="0" applyNumberFormat="1" applyFont="1" applyBorder="1" applyAlignment="1">
      <alignment wrapText="1"/>
    </xf>
    <xf numFmtId="165" fontId="14" fillId="0" borderId="39" xfId="0" applyNumberFormat="1" applyFont="1" applyBorder="1" applyAlignment="1"/>
    <xf numFmtId="165" fontId="14" fillId="0" borderId="0" xfId="0" applyNumberFormat="1" applyFont="1" applyBorder="1"/>
    <xf numFmtId="165" fontId="14" fillId="0" borderId="49" xfId="0" applyNumberFormat="1" applyFont="1" applyBorder="1"/>
    <xf numFmtId="165" fontId="14" fillId="0" borderId="0" xfId="0" applyNumberFormat="1" applyFont="1" applyBorder="1" applyAlignment="1">
      <alignment horizontal="center"/>
    </xf>
    <xf numFmtId="0" fontId="14" fillId="0" borderId="0" xfId="0" applyFont="1" applyBorder="1" applyAlignment="1">
      <alignment wrapText="1"/>
    </xf>
    <xf numFmtId="0" fontId="13" fillId="0" borderId="0" xfId="0" applyFont="1" applyBorder="1" applyAlignment="1">
      <alignment wrapText="1"/>
    </xf>
    <xf numFmtId="165" fontId="14" fillId="0" borderId="0" xfId="0" applyNumberFormat="1" applyFont="1" applyBorder="1" applyAlignment="1"/>
    <xf numFmtId="0" fontId="17" fillId="0" borderId="0" xfId="0" applyFont="1" applyBorder="1" applyAlignment="1">
      <alignment horizontal="center"/>
    </xf>
    <xf numFmtId="0" fontId="5" fillId="0" borderId="14" xfId="0" applyFont="1" applyBorder="1"/>
    <xf numFmtId="0" fontId="5" fillId="0" borderId="14" xfId="0" applyFont="1" applyBorder="1" applyAlignment="1">
      <alignment horizontal="right"/>
    </xf>
    <xf numFmtId="1" fontId="11" fillId="0" borderId="42" xfId="0" applyNumberFormat="1" applyFont="1" applyBorder="1" applyAlignment="1">
      <alignment horizontal="center"/>
    </xf>
    <xf numFmtId="1" fontId="2" fillId="0" borderId="50" xfId="0" applyNumberFormat="1" applyFont="1" applyBorder="1" applyAlignment="1">
      <alignment horizont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20" xfId="0" applyFont="1" applyFill="1" applyBorder="1" applyAlignment="1">
      <alignment horizontal="center" vertical="center" wrapText="1"/>
    </xf>
    <xf numFmtId="166" fontId="13" fillId="0" borderId="0" xfId="2" applyNumberFormat="1" applyFont="1" applyBorder="1" applyAlignment="1">
      <alignment horizontal="center"/>
    </xf>
    <xf numFmtId="1" fontId="11" fillId="0" borderId="38" xfId="0" applyNumberFormat="1" applyFont="1" applyBorder="1" applyAlignment="1">
      <alignment horizontal="center"/>
    </xf>
    <xf numFmtId="0" fontId="2" fillId="0" borderId="0" xfId="0" applyFont="1" applyAlignment="1"/>
    <xf numFmtId="0" fontId="3" fillId="0" borderId="0" xfId="0" applyFont="1" applyAlignment="1"/>
    <xf numFmtId="0" fontId="5" fillId="0" borderId="25" xfId="0" applyFont="1" applyBorder="1"/>
    <xf numFmtId="1" fontId="11" fillId="0" borderId="38" xfId="0" applyNumberFormat="1" applyFont="1" applyBorder="1" applyAlignment="1">
      <alignment horizontal="right"/>
    </xf>
    <xf numFmtId="1" fontId="11" fillId="0" borderId="42" xfId="0" applyNumberFormat="1" applyFont="1" applyBorder="1" applyAlignment="1">
      <alignment horizontal="right"/>
    </xf>
    <xf numFmtId="1" fontId="11" fillId="0" borderId="51" xfId="0" applyNumberFormat="1" applyFont="1" applyBorder="1" applyAlignment="1">
      <alignment horizontal="right"/>
    </xf>
    <xf numFmtId="0" fontId="5" fillId="0" borderId="52" xfId="0" applyFont="1" applyBorder="1" applyAlignment="1">
      <alignment horizontal="center"/>
    </xf>
    <xf numFmtId="166" fontId="13" fillId="0" borderId="40" xfId="2" applyNumberFormat="1" applyFont="1" applyBorder="1" applyAlignment="1">
      <alignment horizontal="center"/>
    </xf>
    <xf numFmtId="166" fontId="13" fillId="0" borderId="54" xfId="2" applyNumberFormat="1" applyFont="1" applyBorder="1" applyAlignment="1">
      <alignment horizontal="center"/>
    </xf>
    <xf numFmtId="166" fontId="13" fillId="0" borderId="55" xfId="2" applyNumberFormat="1" applyFont="1" applyBorder="1" applyAlignment="1">
      <alignment horizontal="center"/>
    </xf>
    <xf numFmtId="0" fontId="15" fillId="0" borderId="50" xfId="0" applyFont="1" applyBorder="1" applyAlignment="1">
      <alignment horizontal="center"/>
    </xf>
    <xf numFmtId="165" fontId="13" fillId="0" borderId="14" xfId="0" applyNumberFormat="1" applyFont="1" applyBorder="1"/>
    <xf numFmtId="165" fontId="13" fillId="0" borderId="22" xfId="0" applyNumberFormat="1" applyFont="1" applyBorder="1"/>
    <xf numFmtId="165" fontId="14" fillId="0" borderId="28" xfId="0" applyNumberFormat="1" applyFont="1" applyBorder="1" applyAlignment="1">
      <alignment horizontal="center"/>
    </xf>
    <xf numFmtId="165" fontId="13" fillId="0" borderId="19" xfId="0" applyNumberFormat="1" applyFont="1" applyBorder="1" applyAlignment="1">
      <alignment horizontal="center"/>
    </xf>
    <xf numFmtId="165" fontId="13" fillId="0" borderId="14" xfId="0" applyNumberFormat="1" applyFont="1" applyBorder="1" applyAlignment="1">
      <alignment horizontal="center"/>
    </xf>
    <xf numFmtId="165" fontId="13" fillId="0" borderId="11" xfId="0" applyNumberFormat="1" applyFont="1" applyBorder="1" applyAlignment="1">
      <alignment horizontal="center"/>
    </xf>
    <xf numFmtId="1" fontId="3" fillId="0" borderId="34" xfId="0" applyNumberFormat="1" applyFont="1" applyBorder="1" applyAlignment="1">
      <alignment horizontal="center"/>
    </xf>
    <xf numFmtId="165" fontId="14" fillId="0" borderId="2" xfId="0" applyNumberFormat="1" applyFont="1" applyBorder="1"/>
    <xf numFmtId="0" fontId="10" fillId="0" borderId="23" xfId="0" applyFont="1" applyBorder="1" applyAlignment="1">
      <alignment horizontal="center"/>
    </xf>
    <xf numFmtId="0" fontId="10" fillId="0" borderId="28" xfId="0" applyFont="1" applyBorder="1" applyAlignment="1">
      <alignment horizontal="center"/>
    </xf>
    <xf numFmtId="0" fontId="10" fillId="0" borderId="50" xfId="0" applyFont="1" applyBorder="1"/>
    <xf numFmtId="166" fontId="14" fillId="0" borderId="6" xfId="2" applyNumberFormat="1" applyFont="1" applyBorder="1" applyAlignment="1">
      <alignment horizontal="center"/>
    </xf>
    <xf numFmtId="0" fontId="13" fillId="0" borderId="56" xfId="0" applyFont="1" applyBorder="1" applyAlignment="1">
      <alignment horizontal="left" wrapText="1"/>
    </xf>
    <xf numFmtId="1" fontId="3" fillId="0" borderId="1" xfId="0" applyNumberFormat="1" applyFont="1" applyBorder="1" applyAlignment="1">
      <alignment horizontal="center"/>
    </xf>
    <xf numFmtId="1" fontId="14" fillId="0" borderId="50" xfId="0" applyNumberFormat="1" applyFont="1" applyBorder="1"/>
    <xf numFmtId="166" fontId="2" fillId="0" borderId="4" xfId="0" applyNumberFormat="1" applyFont="1" applyBorder="1"/>
    <xf numFmtId="0" fontId="6" fillId="0" borderId="23" xfId="0" applyFont="1" applyBorder="1"/>
    <xf numFmtId="0" fontId="3" fillId="0" borderId="28" xfId="0" applyFont="1" applyBorder="1" applyAlignment="1">
      <alignment horizontal="center" vertical="center"/>
    </xf>
    <xf numFmtId="0" fontId="3" fillId="0" borderId="27" xfId="0" applyFont="1" applyBorder="1" applyAlignment="1">
      <alignment horizontal="center" vertical="center" wrapText="1"/>
    </xf>
    <xf numFmtId="165" fontId="2" fillId="0" borderId="14" xfId="0" applyNumberFormat="1" applyFont="1" applyBorder="1"/>
    <xf numFmtId="165" fontId="2" fillId="0" borderId="14" xfId="0" applyNumberFormat="1" applyFont="1" applyBorder="1" applyAlignment="1">
      <alignment horizontal="center"/>
    </xf>
    <xf numFmtId="165" fontId="2" fillId="0" borderId="12" xfId="0" applyNumberFormat="1" applyFont="1" applyBorder="1"/>
    <xf numFmtId="165" fontId="14" fillId="0" borderId="14" xfId="0" applyNumberFormat="1" applyFont="1" applyBorder="1"/>
    <xf numFmtId="165" fontId="14" fillId="0" borderId="14" xfId="0" applyNumberFormat="1" applyFont="1" applyBorder="1" applyAlignment="1">
      <alignment horizontal="center"/>
    </xf>
    <xf numFmtId="165" fontId="2" fillId="0" borderId="15" xfId="0" applyNumberFormat="1" applyFont="1" applyBorder="1"/>
    <xf numFmtId="165" fontId="2" fillId="0" borderId="15" xfId="0" applyNumberFormat="1" applyFont="1" applyBorder="1" applyAlignment="1">
      <alignment horizontal="center"/>
    </xf>
    <xf numFmtId="165" fontId="3" fillId="0" borderId="42" xfId="0" applyNumberFormat="1" applyFont="1" applyBorder="1" applyAlignment="1">
      <alignment horizontal="left"/>
    </xf>
    <xf numFmtId="165" fontId="3" fillId="0" borderId="33" xfId="0" applyNumberFormat="1" applyFont="1" applyBorder="1" applyAlignment="1">
      <alignment horizontal="left"/>
    </xf>
    <xf numFmtId="166" fontId="13" fillId="0" borderId="57" xfId="2" applyNumberFormat="1" applyFont="1" applyBorder="1" applyAlignment="1">
      <alignment horizontal="center"/>
    </xf>
    <xf numFmtId="1" fontId="3" fillId="0" borderId="38" xfId="0" applyNumberFormat="1" applyFont="1" applyBorder="1" applyAlignment="1">
      <alignment horizontal="center"/>
    </xf>
    <xf numFmtId="165" fontId="13" fillId="0" borderId="15" xfId="0" applyNumberFormat="1" applyFont="1" applyBorder="1"/>
    <xf numFmtId="0" fontId="3" fillId="0" borderId="58" xfId="0" applyFont="1" applyFill="1" applyBorder="1" applyAlignment="1">
      <alignment horizontal="center" vertical="center"/>
    </xf>
    <xf numFmtId="0" fontId="3" fillId="0" borderId="11" xfId="0" applyFont="1" applyFill="1" applyBorder="1" applyAlignment="1">
      <alignment horizontal="center" vertical="center" wrapText="1"/>
    </xf>
    <xf numFmtId="1" fontId="2" fillId="0" borderId="5" xfId="0" applyNumberFormat="1" applyFont="1" applyBorder="1"/>
    <xf numFmtId="1" fontId="2" fillId="0" borderId="60" xfId="0" applyNumberFormat="1" applyFont="1" applyBorder="1"/>
    <xf numFmtId="1" fontId="14" fillId="0" borderId="60" xfId="0" applyNumberFormat="1" applyFont="1" applyBorder="1"/>
    <xf numFmtId="0" fontId="16" fillId="0" borderId="61" xfId="0" applyFont="1" applyBorder="1" applyAlignment="1">
      <alignment horizontal="center"/>
    </xf>
    <xf numFmtId="0" fontId="2" fillId="0" borderId="35" xfId="0" applyFont="1" applyBorder="1"/>
    <xf numFmtId="0" fontId="2" fillId="0" borderId="32" xfId="0" applyFont="1" applyBorder="1"/>
    <xf numFmtId="0" fontId="0" fillId="0" borderId="62" xfId="0"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5" fontId="3" fillId="0" borderId="0" xfId="0" applyNumberFormat="1" applyFont="1" applyBorder="1" applyAlignment="1">
      <alignment horizontal="left"/>
    </xf>
    <xf numFmtId="0" fontId="13" fillId="0" borderId="49" xfId="0" applyFont="1" applyBorder="1" applyAlignment="1">
      <alignment wrapText="1"/>
    </xf>
    <xf numFmtId="0" fontId="14" fillId="0" borderId="0" xfId="0" applyFont="1" applyBorder="1" applyAlignment="1">
      <alignment horizontal="center"/>
    </xf>
    <xf numFmtId="0" fontId="10" fillId="0" borderId="63" xfId="0" applyFont="1" applyBorder="1"/>
    <xf numFmtId="165" fontId="18" fillId="0" borderId="61" xfId="0" applyNumberFormat="1" applyFont="1" applyBorder="1"/>
    <xf numFmtId="165" fontId="13" fillId="0" borderId="61" xfId="0" applyNumberFormat="1" applyFont="1" applyBorder="1"/>
    <xf numFmtId="0" fontId="6" fillId="0" borderId="2" xfId="0" applyFont="1" applyBorder="1" applyAlignment="1">
      <alignment horizontal="center"/>
    </xf>
    <xf numFmtId="0" fontId="6" fillId="0" borderId="1" xfId="0" applyFont="1" applyBorder="1" applyAlignment="1">
      <alignment horizontal="center"/>
    </xf>
    <xf numFmtId="0" fontId="7" fillId="0" borderId="7" xfId="0" applyFont="1" applyBorder="1" applyAlignment="1">
      <alignment horizontal="center"/>
    </xf>
    <xf numFmtId="166" fontId="2" fillId="0" borderId="54" xfId="0" applyNumberFormat="1" applyFont="1" applyBorder="1" applyAlignment="1">
      <alignment horizontal="center"/>
    </xf>
    <xf numFmtId="166" fontId="2" fillId="0" borderId="7" xfId="0" applyNumberFormat="1" applyFont="1" applyBorder="1" applyAlignment="1">
      <alignment horizontal="center"/>
    </xf>
    <xf numFmtId="166" fontId="6" fillId="0" borderId="6" xfId="0" applyNumberFormat="1" applyFont="1" applyBorder="1" applyAlignment="1">
      <alignment horizontal="center"/>
    </xf>
    <xf numFmtId="0" fontId="6" fillId="0" borderId="2" xfId="0" applyFont="1" applyBorder="1" applyAlignment="1"/>
    <xf numFmtId="0" fontId="6" fillId="0" borderId="27" xfId="0" applyFont="1" applyBorder="1" applyAlignment="1"/>
    <xf numFmtId="0" fontId="2" fillId="0" borderId="34" xfId="0" applyFont="1" applyBorder="1" applyAlignment="1">
      <alignment horizontal="center"/>
    </xf>
    <xf numFmtId="166" fontId="6" fillId="0" borderId="6" xfId="2" applyNumberFormat="1" applyFont="1" applyBorder="1" applyAlignment="1">
      <alignment horizontal="center"/>
    </xf>
    <xf numFmtId="1" fontId="14" fillId="0" borderId="9" xfId="0" applyNumberFormat="1" applyFont="1" applyBorder="1"/>
    <xf numFmtId="0" fontId="2" fillId="0" borderId="18" xfId="0" applyFont="1" applyBorder="1"/>
    <xf numFmtId="0" fontId="2" fillId="0" borderId="20" xfId="0" applyFont="1" applyBorder="1"/>
    <xf numFmtId="0" fontId="2" fillId="0" borderId="16" xfId="0" applyFont="1" applyBorder="1"/>
    <xf numFmtId="0" fontId="2" fillId="0" borderId="21" xfId="0" applyFont="1" applyBorder="1"/>
    <xf numFmtId="0" fontId="6" fillId="0" borderId="28" xfId="0" applyFont="1" applyBorder="1"/>
    <xf numFmtId="1" fontId="2" fillId="0" borderId="23" xfId="0" applyNumberFormat="1" applyFont="1" applyBorder="1" applyAlignment="1">
      <alignment horizontal="center"/>
    </xf>
    <xf numFmtId="0" fontId="6" fillId="0" borderId="7" xfId="0" applyFont="1" applyBorder="1"/>
    <xf numFmtId="166" fontId="2" fillId="0" borderId="41" xfId="2" applyNumberFormat="1" applyFont="1" applyBorder="1" applyAlignment="1">
      <alignment horizontal="center"/>
    </xf>
    <xf numFmtId="166" fontId="2" fillId="0" borderId="57" xfId="2" applyNumberFormat="1" applyFont="1" applyBorder="1" applyAlignment="1">
      <alignment horizontal="center"/>
    </xf>
    <xf numFmtId="166" fontId="2" fillId="0" borderId="54" xfId="2" applyNumberFormat="1" applyFont="1" applyBorder="1" applyAlignment="1">
      <alignment horizontal="center"/>
    </xf>
    <xf numFmtId="0" fontId="16" fillId="0" borderId="26" xfId="0" applyFont="1" applyBorder="1" applyAlignment="1">
      <alignment horizontal="center"/>
    </xf>
    <xf numFmtId="0" fontId="2" fillId="0" borderId="50" xfId="0" applyFont="1" applyBorder="1"/>
    <xf numFmtId="1" fontId="2" fillId="0" borderId="23" xfId="0" applyNumberFormat="1" applyFont="1" applyBorder="1"/>
    <xf numFmtId="0" fontId="2" fillId="0" borderId="37" xfId="0" applyFont="1" applyBorder="1"/>
    <xf numFmtId="0" fontId="2" fillId="0" borderId="64" xfId="0" applyFont="1" applyBorder="1"/>
    <xf numFmtId="0" fontId="2" fillId="0" borderId="22" xfId="0" applyFont="1" applyBorder="1"/>
    <xf numFmtId="0" fontId="2" fillId="0" borderId="46" xfId="0" applyFont="1" applyBorder="1"/>
    <xf numFmtId="165" fontId="2" fillId="0" borderId="58" xfId="0" applyNumberFormat="1" applyFont="1" applyBorder="1"/>
    <xf numFmtId="165" fontId="14" fillId="0" borderId="58" xfId="0" applyNumberFormat="1" applyFont="1" applyBorder="1"/>
    <xf numFmtId="165" fontId="3" fillId="0" borderId="59" xfId="0" applyNumberFormat="1" applyFont="1" applyBorder="1" applyAlignment="1">
      <alignment horizontal="left"/>
    </xf>
    <xf numFmtId="165" fontId="2" fillId="0" borderId="11" xfId="0" applyNumberFormat="1" applyFont="1" applyBorder="1"/>
    <xf numFmtId="0" fontId="0" fillId="0" borderId="65" xfId="0" applyBorder="1"/>
    <xf numFmtId="0" fontId="11" fillId="0" borderId="66" xfId="0" applyFont="1" applyBorder="1"/>
    <xf numFmtId="0" fontId="0" fillId="0" borderId="67" xfId="0" applyBorder="1" applyAlignment="1">
      <alignment horizontal="left"/>
    </xf>
    <xf numFmtId="0" fontId="0" fillId="0" borderId="67" xfId="0" applyBorder="1" applyAlignment="1">
      <alignment horizontal="left" vertical="center"/>
    </xf>
    <xf numFmtId="166" fontId="0" fillId="0" borderId="32" xfId="0" applyNumberFormat="1" applyBorder="1"/>
    <xf numFmtId="166" fontId="11" fillId="0" borderId="32" xfId="0" applyNumberFormat="1" applyFont="1" applyBorder="1"/>
    <xf numFmtId="165" fontId="2" fillId="0" borderId="68" xfId="0" applyNumberFormat="1" applyFont="1" applyBorder="1"/>
    <xf numFmtId="166" fontId="0" fillId="0" borderId="61" xfId="0" applyNumberFormat="1" applyBorder="1"/>
    <xf numFmtId="166" fontId="11" fillId="0" borderId="33" xfId="0" applyNumberFormat="1" applyFont="1" applyBorder="1"/>
    <xf numFmtId="0" fontId="17" fillId="0" borderId="52" xfId="0" applyFont="1" applyBorder="1" applyAlignment="1">
      <alignment horizontal="center"/>
    </xf>
    <xf numFmtId="0" fontId="17" fillId="0" borderId="14" xfId="0" applyFont="1" applyBorder="1" applyAlignment="1">
      <alignment horizontal="center"/>
    </xf>
    <xf numFmtId="0" fontId="2" fillId="0" borderId="1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165" fontId="2" fillId="0" borderId="32" xfId="0" applyNumberFormat="1" applyFont="1" applyBorder="1"/>
    <xf numFmtId="0" fontId="11" fillId="0" borderId="0" xfId="0" applyFont="1" applyBorder="1" applyAlignment="1">
      <alignment horizontal="center"/>
    </xf>
    <xf numFmtId="165" fontId="11" fillId="0" borderId="0" xfId="0" applyNumberFormat="1" applyFont="1" applyBorder="1" applyAlignment="1">
      <alignment horizontal="center"/>
    </xf>
    <xf numFmtId="167" fontId="13" fillId="0" borderId="0" xfId="0" applyNumberFormat="1" applyFont="1" applyAlignment="1"/>
    <xf numFmtId="166" fontId="5" fillId="0" borderId="32" xfId="0" applyNumberFormat="1" applyFont="1" applyBorder="1" applyAlignment="1">
      <alignment wrapText="1"/>
    </xf>
    <xf numFmtId="166" fontId="5" fillId="0" borderId="61" xfId="0" applyNumberFormat="1" applyFont="1" applyBorder="1" applyAlignment="1">
      <alignment wrapText="1"/>
    </xf>
    <xf numFmtId="1" fontId="4" fillId="0" borderId="42" xfId="0" applyNumberFormat="1" applyFont="1" applyBorder="1" applyAlignment="1">
      <alignment horizontal="center"/>
    </xf>
    <xf numFmtId="165" fontId="2" fillId="0" borderId="19" xfId="0" applyNumberFormat="1" applyFont="1" applyBorder="1" applyAlignment="1">
      <alignment horizontal="center"/>
    </xf>
    <xf numFmtId="166" fontId="2" fillId="0" borderId="40" xfId="2" applyNumberFormat="1" applyFont="1" applyBorder="1" applyAlignment="1">
      <alignment horizontal="center"/>
    </xf>
    <xf numFmtId="165" fontId="2" fillId="0" borderId="24" xfId="0" applyNumberFormat="1" applyFont="1" applyBorder="1" applyAlignment="1">
      <alignment horizontal="center"/>
    </xf>
    <xf numFmtId="165" fontId="2" fillId="0" borderId="25" xfId="0" applyNumberFormat="1" applyFont="1" applyBorder="1" applyAlignment="1">
      <alignment horizontal="center"/>
    </xf>
    <xf numFmtId="165" fontId="2" fillId="0" borderId="11" xfId="0" applyNumberFormat="1" applyFont="1" applyBorder="1" applyAlignment="1">
      <alignment horizontal="center"/>
    </xf>
    <xf numFmtId="165" fontId="2" fillId="0" borderId="17" xfId="0" applyNumberFormat="1" applyFont="1" applyBorder="1" applyAlignment="1">
      <alignment horizontal="center"/>
    </xf>
    <xf numFmtId="165" fontId="2" fillId="0" borderId="25" xfId="0" applyNumberFormat="1" applyFont="1" applyBorder="1"/>
    <xf numFmtId="165" fontId="2" fillId="0" borderId="26" xfId="0" applyNumberFormat="1" applyFont="1" applyBorder="1"/>
    <xf numFmtId="165" fontId="3" fillId="0" borderId="51" xfId="0" applyNumberFormat="1" applyFont="1" applyBorder="1" applyAlignment="1">
      <alignment horizontal="center"/>
    </xf>
    <xf numFmtId="166" fontId="3" fillId="0" borderId="56" xfId="2" applyNumberFormat="1" applyFont="1" applyBorder="1" applyAlignment="1">
      <alignment horizontal="center"/>
    </xf>
    <xf numFmtId="165" fontId="2" fillId="0" borderId="22" xfId="0" applyNumberFormat="1" applyFont="1" applyBorder="1"/>
    <xf numFmtId="165" fontId="3" fillId="0" borderId="28" xfId="0" applyNumberFormat="1" applyFont="1" applyBorder="1" applyAlignment="1">
      <alignment horizontal="center"/>
    </xf>
    <xf numFmtId="166" fontId="3" fillId="0" borderId="7" xfId="2" applyNumberFormat="1" applyFont="1" applyBorder="1" applyAlignment="1">
      <alignment horizontal="center"/>
    </xf>
    <xf numFmtId="166" fontId="2" fillId="0" borderId="56" xfId="2" applyNumberFormat="1" applyFont="1" applyBorder="1" applyAlignment="1">
      <alignment horizontal="center"/>
    </xf>
    <xf numFmtId="165" fontId="3" fillId="0" borderId="2" xfId="0" applyNumberFormat="1" applyFont="1" applyBorder="1" applyAlignment="1">
      <alignment horizontal="center"/>
    </xf>
    <xf numFmtId="166" fontId="3" fillId="0" borderId="6" xfId="2" applyNumberFormat="1" applyFont="1" applyBorder="1" applyAlignment="1">
      <alignment horizontal="center"/>
    </xf>
    <xf numFmtId="165" fontId="3" fillId="0" borderId="42" xfId="0" applyNumberFormat="1" applyFont="1" applyBorder="1" applyAlignment="1">
      <alignment horizontal="center"/>
    </xf>
    <xf numFmtId="1" fontId="2" fillId="0" borderId="38" xfId="0" applyNumberFormat="1" applyFont="1" applyBorder="1" applyAlignment="1">
      <alignment horizontal="center"/>
    </xf>
    <xf numFmtId="0" fontId="2" fillId="0" borderId="48" xfId="0" applyFont="1" applyBorder="1" applyAlignment="1">
      <alignment horizontal="left" wrapText="1"/>
    </xf>
    <xf numFmtId="165" fontId="3" fillId="0" borderId="49" xfId="0" applyNumberFormat="1" applyFont="1" applyBorder="1" applyAlignment="1">
      <alignment horizontal="center"/>
    </xf>
    <xf numFmtId="0" fontId="2" fillId="0" borderId="49" xfId="0" applyFont="1" applyBorder="1"/>
    <xf numFmtId="0" fontId="2" fillId="0" borderId="48" xfId="0" applyFont="1" applyBorder="1"/>
    <xf numFmtId="164" fontId="3" fillId="0" borderId="49" xfId="0" applyNumberFormat="1" applyFont="1" applyBorder="1" applyAlignment="1"/>
    <xf numFmtId="0" fontId="2" fillId="0" borderId="56" xfId="0" applyFont="1" applyBorder="1"/>
    <xf numFmtId="0" fontId="5" fillId="0" borderId="25" xfId="0" applyFont="1" applyBorder="1" applyAlignment="1">
      <alignment horizontal="center"/>
    </xf>
    <xf numFmtId="0" fontId="14" fillId="0" borderId="29" xfId="0" applyFont="1" applyBorder="1"/>
    <xf numFmtId="0" fontId="14" fillId="0" borderId="69" xfId="0" applyFont="1" applyBorder="1" applyAlignment="1">
      <alignment horizontal="left" vertical="center"/>
    </xf>
    <xf numFmtId="0" fontId="13" fillId="0" borderId="69" xfId="0" applyFont="1" applyBorder="1"/>
    <xf numFmtId="0" fontId="13" fillId="0" borderId="36" xfId="0" applyFont="1" applyBorder="1"/>
    <xf numFmtId="0" fontId="14" fillId="0" borderId="44" xfId="0" applyFont="1" applyBorder="1" applyAlignment="1">
      <alignment horizontal="left" vertical="center" wrapText="1"/>
    </xf>
    <xf numFmtId="1" fontId="14" fillId="0" borderId="50" xfId="0" applyNumberFormat="1" applyFont="1" applyBorder="1" applyAlignment="1">
      <alignment horizontal="center"/>
    </xf>
    <xf numFmtId="1" fontId="14" fillId="0" borderId="10" xfId="0" applyNumberFormat="1" applyFont="1" applyBorder="1" applyAlignment="1">
      <alignment horizontal="center"/>
    </xf>
    <xf numFmtId="166" fontId="14" fillId="0" borderId="4" xfId="2" applyNumberFormat="1" applyFont="1" applyBorder="1" applyAlignment="1">
      <alignment horizontal="center"/>
    </xf>
    <xf numFmtId="1" fontId="14" fillId="0" borderId="9" xfId="0" applyNumberFormat="1" applyFont="1" applyBorder="1" applyAlignment="1">
      <alignment horizontal="center"/>
    </xf>
    <xf numFmtId="1" fontId="14" fillId="0" borderId="60" xfId="0" applyNumberFormat="1" applyFont="1" applyBorder="1" applyAlignment="1">
      <alignment horizontal="center"/>
    </xf>
    <xf numFmtId="1" fontId="14" fillId="0" borderId="3" xfId="0" applyNumberFormat="1" applyFont="1" applyBorder="1" applyAlignment="1">
      <alignment horizontal="center"/>
    </xf>
    <xf numFmtId="166" fontId="14" fillId="0" borderId="4" xfId="0" applyNumberFormat="1" applyFont="1" applyBorder="1" applyAlignment="1">
      <alignment horizontal="center"/>
    </xf>
    <xf numFmtId="1" fontId="14" fillId="0" borderId="10" xfId="0" applyNumberFormat="1" applyFont="1" applyBorder="1"/>
    <xf numFmtId="166" fontId="14" fillId="0" borderId="4" xfId="0" applyNumberFormat="1" applyFont="1" applyBorder="1"/>
    <xf numFmtId="0" fontId="12" fillId="0" borderId="0" xfId="0" applyFont="1"/>
    <xf numFmtId="166" fontId="14" fillId="0" borderId="35" xfId="2" applyNumberFormat="1" applyFont="1" applyBorder="1" applyAlignment="1">
      <alignment horizontal="center"/>
    </xf>
    <xf numFmtId="169" fontId="14" fillId="0" borderId="49" xfId="0" applyNumberFormat="1" applyFont="1" applyBorder="1" applyAlignment="1">
      <alignment horizontal="center" wrapText="1"/>
    </xf>
    <xf numFmtId="0" fontId="10" fillId="0" borderId="70" xfId="0" applyFont="1" applyBorder="1"/>
    <xf numFmtId="165" fontId="13" fillId="0" borderId="19" xfId="0" applyNumberFormat="1" applyFont="1" applyBorder="1"/>
    <xf numFmtId="165" fontId="2" fillId="0" borderId="19" xfId="0" applyNumberFormat="1" applyFont="1" applyBorder="1"/>
    <xf numFmtId="165" fontId="2" fillId="0" borderId="24" xfId="0" applyNumberFormat="1" applyFont="1" applyBorder="1"/>
    <xf numFmtId="0" fontId="2" fillId="0" borderId="50" xfId="0" applyFont="1" applyBorder="1" applyAlignment="1">
      <alignment horizontal="center"/>
    </xf>
    <xf numFmtId="166" fontId="2" fillId="0" borderId="55" xfId="2" applyNumberFormat="1" applyFont="1" applyBorder="1" applyAlignment="1">
      <alignment horizontal="center"/>
    </xf>
    <xf numFmtId="0" fontId="3" fillId="0" borderId="15" xfId="0" applyFont="1" applyBorder="1" applyAlignment="1">
      <alignment horizontal="center" vertical="center" wrapText="1"/>
    </xf>
    <xf numFmtId="165" fontId="3" fillId="0" borderId="10" xfId="0" applyNumberFormat="1" applyFont="1" applyBorder="1" applyAlignment="1">
      <alignment horizontal="left"/>
    </xf>
    <xf numFmtId="165" fontId="3" fillId="0" borderId="35" xfId="0" applyNumberFormat="1" applyFont="1" applyBorder="1" applyAlignment="1">
      <alignment horizontal="left"/>
    </xf>
    <xf numFmtId="165" fontId="2" fillId="0" borderId="22" xfId="0" applyNumberFormat="1" applyFont="1" applyBorder="1" applyAlignment="1">
      <alignment horizontal="center"/>
    </xf>
    <xf numFmtId="0" fontId="0" fillId="0" borderId="0" xfId="0" applyAlignment="1">
      <alignment horizontal="center"/>
    </xf>
    <xf numFmtId="0" fontId="2" fillId="0" borderId="52" xfId="0" applyFont="1" applyBorder="1"/>
    <xf numFmtId="0" fontId="2" fillId="0" borderId="71" xfId="0" applyFont="1" applyBorder="1" applyAlignment="1">
      <alignment horizontal="center"/>
    </xf>
    <xf numFmtId="166" fontId="2" fillId="0" borderId="32" xfId="2" applyNumberFormat="1" applyFont="1" applyBorder="1" applyAlignment="1">
      <alignment horizontal="center"/>
    </xf>
    <xf numFmtId="165" fontId="2" fillId="0" borderId="72" xfId="0" applyNumberFormat="1" applyFont="1" applyBorder="1"/>
    <xf numFmtId="165" fontId="2" fillId="0" borderId="73" xfId="0" applyNumberFormat="1" applyFont="1" applyBorder="1"/>
    <xf numFmtId="165" fontId="2" fillId="0" borderId="52" xfId="0" applyNumberFormat="1" applyFont="1" applyBorder="1"/>
    <xf numFmtId="165" fontId="13" fillId="0" borderId="52" xfId="0" applyNumberFormat="1" applyFont="1" applyBorder="1"/>
    <xf numFmtId="0" fontId="3" fillId="0" borderId="22" xfId="0" applyFont="1" applyBorder="1" applyAlignment="1">
      <alignment horizontal="center" vertical="center" wrapText="1"/>
    </xf>
    <xf numFmtId="165" fontId="2" fillId="0" borderId="53" xfId="0" applyNumberFormat="1" applyFont="1" applyBorder="1"/>
    <xf numFmtId="165" fontId="2" fillId="0" borderId="74" xfId="0" applyNumberFormat="1" applyFont="1" applyBorder="1"/>
    <xf numFmtId="165" fontId="3" fillId="0" borderId="60" xfId="0" applyNumberFormat="1" applyFont="1" applyBorder="1" applyAlignment="1">
      <alignment horizontal="left"/>
    </xf>
    <xf numFmtId="10" fontId="17" fillId="0" borderId="37" xfId="1" applyNumberFormat="1" applyBorder="1"/>
    <xf numFmtId="10" fontId="17" fillId="0" borderId="32" xfId="1" applyNumberFormat="1" applyBorder="1"/>
    <xf numFmtId="10" fontId="17" fillId="0" borderId="61" xfId="1" applyNumberFormat="1" applyBorder="1"/>
    <xf numFmtId="10" fontId="11" fillId="0" borderId="33" xfId="1" applyNumberFormat="1" applyFont="1" applyBorder="1"/>
    <xf numFmtId="0" fontId="14" fillId="0" borderId="23" xfId="0" applyFont="1" applyBorder="1"/>
    <xf numFmtId="0" fontId="14" fillId="0" borderId="2" xfId="0" applyFont="1" applyBorder="1"/>
    <xf numFmtId="0" fontId="14" fillId="0" borderId="6" xfId="0" applyFont="1" applyBorder="1"/>
    <xf numFmtId="0" fontId="14" fillId="0" borderId="1" xfId="0" applyFont="1" applyBorder="1"/>
    <xf numFmtId="166" fontId="14" fillId="0" borderId="6" xfId="0" applyNumberFormat="1" applyFont="1" applyBorder="1"/>
    <xf numFmtId="1" fontId="14" fillId="0" borderId="42" xfId="0" applyNumberFormat="1" applyFont="1" applyBorder="1" applyAlignment="1">
      <alignment wrapText="1"/>
    </xf>
    <xf numFmtId="0" fontId="2" fillId="0" borderId="27" xfId="0" applyFont="1" applyFill="1" applyBorder="1" applyAlignment="1">
      <alignment horizontal="center"/>
    </xf>
    <xf numFmtId="0" fontId="14" fillId="0" borderId="0" xfId="0" applyFont="1" applyAlignment="1">
      <alignment horizontal="center"/>
    </xf>
    <xf numFmtId="0" fontId="5" fillId="0" borderId="11" xfId="0" applyFont="1" applyBorder="1"/>
    <xf numFmtId="0" fontId="5" fillId="0" borderId="11" xfId="0" applyFont="1" applyFill="1" applyBorder="1"/>
    <xf numFmtId="0" fontId="5" fillId="0" borderId="17" xfId="0" applyFont="1" applyFill="1" applyBorder="1"/>
    <xf numFmtId="0" fontId="5" fillId="0" borderId="11" xfId="0" applyFont="1" applyBorder="1" applyAlignment="1">
      <alignment horizontal="center"/>
    </xf>
    <xf numFmtId="0" fontId="5" fillId="0" borderId="58" xfId="0" applyFont="1" applyBorder="1" applyAlignment="1">
      <alignment horizontal="center"/>
    </xf>
    <xf numFmtId="0" fontId="4" fillId="0" borderId="51" xfId="0" applyFont="1" applyBorder="1" applyAlignment="1">
      <alignment horizontal="center"/>
    </xf>
    <xf numFmtId="0" fontId="4" fillId="0" borderId="42" xfId="0" applyFont="1" applyBorder="1" applyAlignment="1">
      <alignment horizontal="center"/>
    </xf>
    <xf numFmtId="0" fontId="4" fillId="0" borderId="42" xfId="0" applyFont="1" applyFill="1" applyBorder="1" applyAlignment="1">
      <alignment horizontal="center"/>
    </xf>
    <xf numFmtId="0" fontId="4" fillId="0" borderId="51" xfId="0" applyFont="1" applyFill="1" applyBorder="1" applyAlignment="1">
      <alignment horizontal="center"/>
    </xf>
    <xf numFmtId="0" fontId="5" fillId="0" borderId="15" xfId="0" applyFont="1" applyBorder="1"/>
    <xf numFmtId="0" fontId="5" fillId="0" borderId="26" xfId="0" applyFont="1" applyBorder="1"/>
    <xf numFmtId="0" fontId="5" fillId="0" borderId="15" xfId="0" applyFont="1" applyBorder="1" applyAlignment="1">
      <alignment horizontal="center"/>
    </xf>
    <xf numFmtId="0" fontId="17" fillId="0" borderId="53" xfId="0" applyFont="1" applyBorder="1" applyAlignment="1">
      <alignment horizontal="center"/>
    </xf>
    <xf numFmtId="0" fontId="17" fillId="0" borderId="15" xfId="0" applyFont="1" applyBorder="1" applyAlignment="1">
      <alignment horizontal="center"/>
    </xf>
    <xf numFmtId="0" fontId="5" fillId="0" borderId="17" xfId="0" applyFont="1" applyBorder="1"/>
    <xf numFmtId="0" fontId="17" fillId="0" borderId="11" xfId="0" applyFont="1" applyBorder="1" applyAlignment="1">
      <alignment horizontal="center"/>
    </xf>
    <xf numFmtId="1" fontId="4" fillId="0" borderId="42" xfId="0" applyNumberFormat="1" applyFont="1" applyBorder="1" applyAlignment="1">
      <alignment horizontal="right"/>
    </xf>
    <xf numFmtId="1" fontId="4" fillId="0" borderId="51" xfId="0" applyNumberFormat="1" applyFont="1" applyBorder="1" applyAlignment="1">
      <alignment horizontal="right"/>
    </xf>
    <xf numFmtId="0" fontId="5" fillId="0" borderId="53" xfId="0" applyFont="1" applyBorder="1" applyAlignment="1">
      <alignment horizontal="center"/>
    </xf>
    <xf numFmtId="1" fontId="4" fillId="0" borderId="2" xfId="0" applyNumberFormat="1" applyFont="1" applyBorder="1" applyAlignment="1">
      <alignment horizontal="right"/>
    </xf>
    <xf numFmtId="1" fontId="4" fillId="0" borderId="23" xfId="0" applyNumberFormat="1" applyFont="1" applyBorder="1" applyAlignment="1">
      <alignment horizontal="right"/>
    </xf>
    <xf numFmtId="1" fontId="4" fillId="0" borderId="2" xfId="0" applyNumberFormat="1" applyFont="1" applyBorder="1" applyAlignment="1">
      <alignment horizontal="center"/>
    </xf>
    <xf numFmtId="1" fontId="11" fillId="0" borderId="2" xfId="0" applyNumberFormat="1" applyFont="1" applyBorder="1" applyAlignment="1">
      <alignment wrapText="1"/>
    </xf>
    <xf numFmtId="0" fontId="2" fillId="0" borderId="29" xfId="0" applyFont="1" applyBorder="1"/>
    <xf numFmtId="0" fontId="3" fillId="0" borderId="30" xfId="0" applyFont="1" applyBorder="1" applyAlignment="1">
      <alignment horizontal="left"/>
    </xf>
    <xf numFmtId="0" fontId="3" fillId="0" borderId="69" xfId="0" applyFont="1" applyBorder="1" applyAlignment="1">
      <alignment horizontal="center"/>
    </xf>
    <xf numFmtId="0" fontId="2" fillId="0" borderId="69" xfId="0" applyFont="1" applyBorder="1"/>
    <xf numFmtId="0" fontId="2" fillId="0" borderId="36" xfId="0" applyFont="1" applyBorder="1"/>
    <xf numFmtId="0" fontId="2" fillId="0" borderId="63" xfId="0" applyFont="1" applyBorder="1"/>
    <xf numFmtId="0" fontId="2" fillId="0" borderId="70" xfId="0" applyFont="1" applyBorder="1"/>
    <xf numFmtId="0" fontId="2" fillId="0" borderId="45" xfId="0" applyFont="1" applyBorder="1"/>
    <xf numFmtId="0" fontId="3" fillId="0" borderId="44" xfId="0" applyFont="1" applyBorder="1" applyAlignment="1">
      <alignment horizontal="left"/>
    </xf>
    <xf numFmtId="0" fontId="3" fillId="0" borderId="44" xfId="0" applyFont="1" applyBorder="1" applyAlignment="1">
      <alignment horizontal="left" vertical="center" wrapText="1"/>
    </xf>
    <xf numFmtId="0" fontId="3" fillId="0" borderId="29" xfId="0" applyFont="1" applyBorder="1" applyAlignment="1">
      <alignment horizontal="left" vertical="center" wrapText="1"/>
    </xf>
    <xf numFmtId="0" fontId="13" fillId="0" borderId="63" xfId="0" applyFont="1" applyBorder="1"/>
    <xf numFmtId="0" fontId="14" fillId="0" borderId="29" xfId="0" applyFont="1" applyBorder="1" applyAlignment="1">
      <alignment horizontal="left"/>
    </xf>
    <xf numFmtId="1" fontId="3" fillId="0" borderId="42" xfId="0" applyNumberFormat="1" applyFont="1" applyBorder="1" applyAlignment="1">
      <alignment horizontal="center"/>
    </xf>
    <xf numFmtId="165" fontId="18" fillId="0" borderId="33" xfId="0" applyNumberFormat="1" applyFont="1" applyBorder="1" applyAlignment="1">
      <alignment horizontal="center"/>
    </xf>
    <xf numFmtId="165" fontId="13" fillId="0" borderId="33" xfId="0" applyNumberFormat="1" applyFont="1" applyBorder="1" applyAlignment="1">
      <alignment horizontal="center"/>
    </xf>
    <xf numFmtId="165" fontId="14" fillId="0" borderId="56" xfId="0" applyNumberFormat="1" applyFont="1" applyBorder="1" applyAlignment="1">
      <alignment horizontal="center"/>
    </xf>
    <xf numFmtId="165" fontId="14" fillId="0" borderId="51" xfId="0" applyNumberFormat="1" applyFont="1" applyBorder="1" applyAlignment="1">
      <alignment horizontal="center"/>
    </xf>
    <xf numFmtId="166" fontId="14" fillId="0" borderId="56" xfId="2" applyNumberFormat="1" applyFont="1" applyBorder="1" applyAlignment="1">
      <alignment horizontal="center"/>
    </xf>
    <xf numFmtId="1" fontId="3" fillId="0" borderId="51" xfId="0" applyNumberFormat="1" applyFont="1" applyBorder="1" applyAlignment="1">
      <alignment horizontal="center"/>
    </xf>
    <xf numFmtId="0" fontId="5" fillId="0" borderId="26"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166" fontId="5" fillId="0" borderId="12" xfId="0" applyNumberFormat="1" applyFont="1" applyBorder="1" applyAlignment="1">
      <alignment wrapText="1"/>
    </xf>
    <xf numFmtId="0" fontId="5" fillId="0" borderId="20" xfId="0" applyFont="1" applyBorder="1" applyAlignment="1">
      <alignment horizontal="center"/>
    </xf>
    <xf numFmtId="1" fontId="4" fillId="0" borderId="51" xfId="0" applyNumberFormat="1" applyFont="1" applyBorder="1" applyAlignment="1">
      <alignment horizontal="center"/>
    </xf>
    <xf numFmtId="1" fontId="4" fillId="0" borderId="59" xfId="0" applyNumberFormat="1" applyFont="1" applyBorder="1" applyAlignment="1">
      <alignment horizontal="center"/>
    </xf>
    <xf numFmtId="166" fontId="4" fillId="0" borderId="33" xfId="0" applyNumberFormat="1" applyFont="1" applyBorder="1" applyAlignment="1">
      <alignment wrapText="1"/>
    </xf>
    <xf numFmtId="0" fontId="14" fillId="0" borderId="18" xfId="0" applyFont="1" applyBorder="1" applyAlignment="1">
      <alignment horizontal="left" vertical="center" wrapText="1"/>
    </xf>
    <xf numFmtId="1" fontId="4" fillId="0" borderId="19" xfId="0" applyNumberFormat="1" applyFont="1" applyBorder="1" applyAlignment="1">
      <alignment horizontal="center"/>
    </xf>
    <xf numFmtId="166" fontId="5" fillId="0" borderId="19" xfId="0" applyNumberFormat="1" applyFont="1" applyBorder="1" applyAlignment="1">
      <alignment wrapText="1"/>
    </xf>
    <xf numFmtId="166" fontId="5" fillId="0" borderId="37" xfId="0" applyNumberFormat="1" applyFont="1" applyBorder="1" applyAlignment="1">
      <alignment wrapText="1"/>
    </xf>
    <xf numFmtId="0" fontId="14" fillId="0" borderId="21" xfId="0" applyFont="1" applyBorder="1" applyAlignment="1">
      <alignment horizontal="left" vertical="center" wrapText="1"/>
    </xf>
    <xf numFmtId="1" fontId="14" fillId="0" borderId="22" xfId="0" applyNumberFormat="1" applyFont="1" applyBorder="1" applyAlignment="1">
      <alignment horizontal="center"/>
    </xf>
    <xf numFmtId="1" fontId="4" fillId="0" borderId="22" xfId="0" applyNumberFormat="1" applyFont="1" applyBorder="1" applyAlignment="1">
      <alignment horizontal="center"/>
    </xf>
    <xf numFmtId="166" fontId="5" fillId="0" borderId="22" xfId="0" applyNumberFormat="1" applyFont="1" applyBorder="1" applyAlignment="1">
      <alignment wrapText="1"/>
    </xf>
    <xf numFmtId="166" fontId="5" fillId="0" borderId="46" xfId="0" applyNumberFormat="1" applyFont="1" applyBorder="1" applyAlignment="1">
      <alignment wrapText="1"/>
    </xf>
    <xf numFmtId="0" fontId="12" fillId="0" borderId="0" xfId="0" applyFont="1" applyFill="1"/>
    <xf numFmtId="0" fontId="12" fillId="0" borderId="0" xfId="0" applyFont="1" applyFill="1" applyAlignment="1"/>
    <xf numFmtId="10" fontId="0" fillId="0" borderId="32" xfId="0" applyNumberFormat="1" applyBorder="1" applyAlignment="1">
      <alignment horizontal="center"/>
    </xf>
    <xf numFmtId="10" fontId="0" fillId="0" borderId="12" xfId="0" applyNumberFormat="1" applyBorder="1" applyAlignment="1">
      <alignment horizontal="center"/>
    </xf>
    <xf numFmtId="0" fontId="3" fillId="0" borderId="50" xfId="0" applyFont="1" applyBorder="1" applyAlignment="1">
      <alignment horizontal="center" vertical="center"/>
    </xf>
    <xf numFmtId="0" fontId="3" fillId="0" borderId="10" xfId="0" applyFont="1" applyBorder="1" applyAlignment="1">
      <alignment horizontal="center" vertical="center" wrapText="1"/>
    </xf>
    <xf numFmtId="0" fontId="0" fillId="0" borderId="71" xfId="0" applyBorder="1"/>
    <xf numFmtId="0" fontId="0" fillId="0" borderId="78" xfId="0" applyBorder="1" applyAlignment="1">
      <alignment horizontal="left"/>
    </xf>
    <xf numFmtId="165" fontId="2" fillId="0" borderId="17" xfId="0" applyNumberFormat="1" applyFont="1" applyBorder="1" applyAlignment="1">
      <alignment horizontal="left"/>
    </xf>
    <xf numFmtId="165" fontId="2" fillId="0" borderId="25" xfId="0" applyNumberFormat="1" applyFont="1" applyBorder="1" applyAlignment="1">
      <alignment horizontal="left"/>
    </xf>
    <xf numFmtId="165" fontId="14" fillId="0" borderId="25" xfId="0" applyNumberFormat="1" applyFont="1" applyBorder="1" applyAlignment="1">
      <alignment horizontal="left"/>
    </xf>
    <xf numFmtId="165" fontId="2" fillId="0" borderId="26" xfId="0" applyNumberFormat="1" applyFont="1" applyBorder="1" applyAlignment="1">
      <alignment horizontal="left"/>
    </xf>
    <xf numFmtId="165" fontId="3" fillId="0" borderId="51" xfId="0" applyNumberFormat="1" applyFont="1" applyBorder="1" applyAlignment="1">
      <alignment horizontal="left"/>
    </xf>
    <xf numFmtId="0" fontId="4" fillId="0" borderId="44" xfId="0"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0" fillId="0" borderId="31" xfId="0" applyBorder="1"/>
    <xf numFmtId="0" fontId="0" fillId="0" borderId="69" xfId="0" applyBorder="1" applyAlignment="1">
      <alignment horizontal="left" vertical="center" wrapText="1"/>
    </xf>
    <xf numFmtId="0" fontId="0" fillId="0" borderId="36" xfId="0" applyBorder="1" applyAlignment="1">
      <alignment horizontal="left" vertical="center" wrapText="1"/>
    </xf>
    <xf numFmtId="0" fontId="0" fillId="0" borderId="36" xfId="0" applyFill="1" applyBorder="1" applyAlignment="1">
      <alignment horizontal="left" vertical="center" wrapText="1"/>
    </xf>
    <xf numFmtId="0" fontId="5" fillId="0" borderId="36" xfId="0" applyFont="1" applyBorder="1" applyAlignment="1">
      <alignment horizontal="left"/>
    </xf>
    <xf numFmtId="0" fontId="5" fillId="0" borderId="63" xfId="0" applyFont="1" applyBorder="1" applyAlignment="1">
      <alignment horizontal="left"/>
    </xf>
    <xf numFmtId="0" fontId="0" fillId="0" borderId="30" xfId="0" applyBorder="1"/>
    <xf numFmtId="0" fontId="11" fillId="0" borderId="36" xfId="0" applyFont="1" applyBorder="1" applyAlignment="1">
      <alignment horizontal="left" vertical="center" wrapText="1"/>
    </xf>
    <xf numFmtId="166" fontId="0" fillId="0" borderId="12" xfId="0" applyNumberFormat="1" applyBorder="1"/>
    <xf numFmtId="0" fontId="0" fillId="0" borderId="29" xfId="0" applyBorder="1"/>
    <xf numFmtId="0" fontId="11" fillId="0" borderId="30" xfId="0" applyFont="1" applyBorder="1"/>
    <xf numFmtId="0" fontId="3" fillId="0" borderId="50" xfId="0" applyFont="1" applyBorder="1" applyAlignment="1">
      <alignment horizontal="center" vertical="center" wrapText="1"/>
    </xf>
    <xf numFmtId="0" fontId="0" fillId="0" borderId="69" xfId="0" applyBorder="1" applyAlignment="1">
      <alignment horizontal="left"/>
    </xf>
    <xf numFmtId="0" fontId="0" fillId="0" borderId="36" xfId="0" applyBorder="1" applyAlignment="1">
      <alignment horizontal="left"/>
    </xf>
    <xf numFmtId="0" fontId="0" fillId="0" borderId="36" xfId="0" applyBorder="1" applyAlignment="1">
      <alignment horizontal="left" vertical="center"/>
    </xf>
    <xf numFmtId="0" fontId="0" fillId="0" borderId="45" xfId="0" applyBorder="1" applyAlignment="1">
      <alignment horizontal="left"/>
    </xf>
    <xf numFmtId="166" fontId="0" fillId="0" borderId="69" xfId="0" applyNumberFormat="1" applyBorder="1"/>
    <xf numFmtId="166" fontId="0" fillId="0" borderId="36" xfId="0" applyNumberFormat="1" applyBorder="1"/>
    <xf numFmtId="166" fontId="11" fillId="0" borderId="36" xfId="0" applyNumberFormat="1" applyFont="1" applyBorder="1"/>
    <xf numFmtId="166" fontId="0" fillId="0" borderId="63" xfId="0" applyNumberFormat="1" applyBorder="1"/>
    <xf numFmtId="166" fontId="11" fillId="0" borderId="44" xfId="0" applyNumberFormat="1" applyFont="1" applyBorder="1"/>
    <xf numFmtId="10" fontId="11" fillId="0" borderId="46" xfId="1" applyNumberFormat="1" applyFont="1" applyBorder="1"/>
    <xf numFmtId="10" fontId="17" fillId="0" borderId="12" xfId="1" applyNumberFormat="1" applyBorder="1"/>
    <xf numFmtId="0" fontId="3" fillId="0" borderId="64" xfId="0" applyFont="1" applyBorder="1" applyAlignment="1">
      <alignment horizontal="center" vertical="center"/>
    </xf>
    <xf numFmtId="165" fontId="14" fillId="0" borderId="17" xfId="0" applyNumberFormat="1" applyFont="1" applyBorder="1" applyAlignment="1">
      <alignment horizontal="left"/>
    </xf>
    <xf numFmtId="0" fontId="11" fillId="0" borderId="0" xfId="0" applyFont="1" applyFill="1"/>
    <xf numFmtId="10" fontId="17" fillId="0" borderId="69" xfId="1" applyNumberFormat="1" applyBorder="1"/>
    <xf numFmtId="10" fontId="17" fillId="0" borderId="36" xfId="1" applyNumberFormat="1" applyBorder="1"/>
    <xf numFmtId="10" fontId="17" fillId="0" borderId="63" xfId="1" applyNumberFormat="1" applyBorder="1"/>
    <xf numFmtId="10" fontId="11" fillId="0" borderId="44" xfId="1" applyNumberFormat="1" applyFont="1" applyBorder="1"/>
    <xf numFmtId="10" fontId="17" fillId="0" borderId="46" xfId="1" applyNumberFormat="1" applyBorder="1"/>
    <xf numFmtId="0" fontId="0" fillId="0" borderId="37" xfId="0" applyBorder="1"/>
    <xf numFmtId="10" fontId="11" fillId="0" borderId="35" xfId="1" applyNumberFormat="1" applyFont="1" applyBorder="1"/>
    <xf numFmtId="165" fontId="2" fillId="0" borderId="64" xfId="0" applyNumberFormat="1" applyFont="1" applyBorder="1" applyAlignment="1">
      <alignment horizontal="left"/>
    </xf>
    <xf numFmtId="165" fontId="3" fillId="0" borderId="50" xfId="0" applyNumberFormat="1" applyFont="1" applyBorder="1" applyAlignment="1">
      <alignment horizontal="left"/>
    </xf>
    <xf numFmtId="0" fontId="0" fillId="0" borderId="70" xfId="0" applyBorder="1" applyAlignment="1">
      <alignment horizontal="left"/>
    </xf>
    <xf numFmtId="0" fontId="0" fillId="0" borderId="70" xfId="0" applyBorder="1" applyAlignment="1">
      <alignment horizontal="left" vertical="center" wrapText="1"/>
    </xf>
    <xf numFmtId="0" fontId="5" fillId="0" borderId="45" xfId="0" applyFont="1" applyBorder="1" applyAlignment="1">
      <alignment horizontal="left"/>
    </xf>
    <xf numFmtId="165" fontId="2" fillId="0" borderId="24" xfId="0" applyNumberFormat="1" applyFont="1" applyBorder="1" applyAlignment="1">
      <alignment horizontal="left"/>
    </xf>
    <xf numFmtId="165" fontId="2" fillId="0" borderId="77" xfId="0" applyNumberFormat="1" applyFont="1" applyBorder="1"/>
    <xf numFmtId="0" fontId="14" fillId="0" borderId="0" xfId="0" applyFont="1" applyAlignment="1">
      <alignment horizontal="center"/>
    </xf>
    <xf numFmtId="0" fontId="4" fillId="0" borderId="44" xfId="0" applyFont="1" applyBorder="1" applyAlignment="1">
      <alignment horizontal="left"/>
    </xf>
    <xf numFmtId="166" fontId="5" fillId="0" borderId="77" xfId="0" applyNumberFormat="1" applyFont="1" applyBorder="1" applyAlignment="1">
      <alignment wrapText="1"/>
    </xf>
    <xf numFmtId="166" fontId="5" fillId="0" borderId="74" xfId="0" applyNumberFormat="1" applyFont="1" applyBorder="1" applyAlignment="1">
      <alignment wrapText="1"/>
    </xf>
    <xf numFmtId="1" fontId="4" fillId="0" borderId="24" xfId="0" applyNumberFormat="1" applyFont="1" applyBorder="1" applyAlignment="1">
      <alignment horizontal="center"/>
    </xf>
    <xf numFmtId="1" fontId="4" fillId="0" borderId="64" xfId="0" applyNumberFormat="1" applyFont="1" applyBorder="1" applyAlignment="1">
      <alignment horizontal="center"/>
    </xf>
    <xf numFmtId="1" fontId="4" fillId="0" borderId="18" xfId="0" applyNumberFormat="1" applyFont="1" applyBorder="1" applyAlignment="1">
      <alignment horizontal="center"/>
    </xf>
    <xf numFmtId="1" fontId="4" fillId="0" borderId="21" xfId="0" applyNumberFormat="1" applyFont="1" applyBorder="1" applyAlignment="1">
      <alignment horizontal="center"/>
    </xf>
    <xf numFmtId="0" fontId="0" fillId="0" borderId="79" xfId="0" applyBorder="1" applyAlignment="1">
      <alignment horizontal="left"/>
    </xf>
    <xf numFmtId="165" fontId="2" fillId="0" borderId="47" xfId="0" applyNumberFormat="1" applyFont="1" applyBorder="1"/>
    <xf numFmtId="10" fontId="0" fillId="0" borderId="61" xfId="0" applyNumberFormat="1" applyBorder="1" applyAlignment="1">
      <alignment horizontal="center"/>
    </xf>
    <xf numFmtId="0" fontId="0" fillId="0" borderId="48" xfId="0" applyBorder="1" applyAlignment="1">
      <alignment horizontal="left"/>
    </xf>
    <xf numFmtId="10" fontId="3" fillId="0" borderId="33" xfId="0" applyNumberFormat="1" applyFont="1" applyFill="1" applyBorder="1" applyAlignment="1">
      <alignment horizontal="center"/>
    </xf>
    <xf numFmtId="0" fontId="11" fillId="0" borderId="49" xfId="0" applyFont="1" applyBorder="1" applyAlignment="1">
      <alignment horizontal="center" wrapText="1"/>
    </xf>
    <xf numFmtId="1" fontId="14" fillId="0" borderId="59" xfId="0" applyNumberFormat="1" applyFont="1" applyBorder="1" applyAlignment="1">
      <alignment wrapText="1"/>
    </xf>
    <xf numFmtId="0" fontId="14" fillId="0" borderId="44" xfId="0" applyFont="1" applyBorder="1" applyAlignment="1">
      <alignment horizontal="center" vertical="top" wrapText="1"/>
    </xf>
    <xf numFmtId="166" fontId="13" fillId="0" borderId="69" xfId="0" applyNumberFormat="1" applyFont="1" applyBorder="1" applyAlignment="1">
      <alignment wrapText="1"/>
    </xf>
    <xf numFmtId="166" fontId="14" fillId="0" borderId="44" xfId="0" applyNumberFormat="1" applyFont="1" applyBorder="1" applyAlignment="1">
      <alignment wrapText="1"/>
    </xf>
    <xf numFmtId="166" fontId="2" fillId="0" borderId="8" xfId="2" applyNumberFormat="1" applyFont="1" applyBorder="1" applyAlignment="1">
      <alignment horizontal="center"/>
    </xf>
    <xf numFmtId="166" fontId="2" fillId="0" borderId="8" xfId="0" applyNumberFormat="1" applyFont="1" applyBorder="1" applyAlignment="1">
      <alignment horizontal="center"/>
    </xf>
    <xf numFmtId="166" fontId="2" fillId="0" borderId="32" xfId="0" applyNumberFormat="1" applyFont="1" applyBorder="1" applyAlignment="1">
      <alignment horizontal="center"/>
    </xf>
    <xf numFmtId="166" fontId="2" fillId="0" borderId="54" xfId="0" applyNumberFormat="1" applyFont="1" applyBorder="1"/>
    <xf numFmtId="0" fontId="2" fillId="0" borderId="78" xfId="0" applyFont="1" applyBorder="1" applyAlignment="1">
      <alignment horizontal="center"/>
    </xf>
    <xf numFmtId="10" fontId="17" fillId="0" borderId="41" xfId="1" applyNumberFormat="1" applyBorder="1"/>
    <xf numFmtId="10" fontId="17" fillId="0" borderId="54" xfId="1" applyNumberFormat="1" applyBorder="1"/>
    <xf numFmtId="167" fontId="13" fillId="0" borderId="0" xfId="0" applyNumberFormat="1" applyFont="1" applyAlignment="1">
      <alignment horizontal="left"/>
    </xf>
    <xf numFmtId="10" fontId="17" fillId="0" borderId="57" xfId="1" applyNumberFormat="1" applyBorder="1"/>
    <xf numFmtId="167" fontId="13" fillId="0" borderId="0" xfId="0" applyNumberFormat="1" applyFont="1" applyAlignment="1">
      <alignment horizontal="left"/>
    </xf>
    <xf numFmtId="1" fontId="14" fillId="0" borderId="35" xfId="0" applyNumberFormat="1" applyFont="1" applyBorder="1"/>
    <xf numFmtId="0" fontId="2" fillId="0" borderId="34" xfId="0" applyFont="1" applyFill="1" applyBorder="1" applyAlignment="1">
      <alignment horizontal="center"/>
    </xf>
    <xf numFmtId="165" fontId="2" fillId="0" borderId="2" xfId="0" applyNumberFormat="1" applyFont="1" applyBorder="1"/>
    <xf numFmtId="166" fontId="2" fillId="0" borderId="8" xfId="0" applyNumberFormat="1" applyFont="1" applyFill="1" applyBorder="1" applyAlignment="1">
      <alignment horizontal="center"/>
    </xf>
    <xf numFmtId="166" fontId="2" fillId="0" borderId="35" xfId="0" applyNumberFormat="1" applyFont="1" applyBorder="1"/>
    <xf numFmtId="166" fontId="14" fillId="0" borderId="29" xfId="0" applyNumberFormat="1" applyFont="1" applyBorder="1" applyAlignment="1">
      <alignment wrapText="1"/>
    </xf>
    <xf numFmtId="166" fontId="14" fillId="0" borderId="36" xfId="0" applyNumberFormat="1" applyFont="1" applyBorder="1" applyAlignment="1">
      <alignment wrapText="1"/>
    </xf>
    <xf numFmtId="166" fontId="14" fillId="0" borderId="70" xfId="0" applyNumberFormat="1" applyFont="1" applyBorder="1" applyAlignment="1">
      <alignment wrapText="1"/>
    </xf>
    <xf numFmtId="165" fontId="2" fillId="0" borderId="72" xfId="0" applyNumberFormat="1" applyFont="1" applyFill="1" applyBorder="1"/>
    <xf numFmtId="166" fontId="2" fillId="0" borderId="32" xfId="0" applyNumberFormat="1" applyFont="1" applyFill="1" applyBorder="1" applyAlignment="1">
      <alignment horizontal="center"/>
    </xf>
    <xf numFmtId="164" fontId="3" fillId="0" borderId="49" xfId="0" applyNumberFormat="1" applyFont="1" applyFill="1" applyBorder="1" applyAlignment="1"/>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7" fillId="0" borderId="49" xfId="0" applyFont="1" applyBorder="1" applyAlignment="1">
      <alignment horizontal="center"/>
    </xf>
    <xf numFmtId="0" fontId="7" fillId="0" borderId="56" xfId="0" applyFont="1" applyBorder="1" applyAlignment="1">
      <alignment horizontal="center"/>
    </xf>
    <xf numFmtId="0" fontId="12" fillId="0" borderId="0" xfId="0" applyFont="1" applyAlignment="1">
      <alignment horizontal="right"/>
    </xf>
    <xf numFmtId="0" fontId="17" fillId="0" borderId="0" xfId="0" applyFont="1" applyAlignment="1">
      <alignment horizontal="center"/>
    </xf>
    <xf numFmtId="0" fontId="3" fillId="0" borderId="75" xfId="0" applyFont="1" applyBorder="1" applyAlignment="1">
      <alignment horizontal="center"/>
    </xf>
    <xf numFmtId="0" fontId="3" fillId="0" borderId="40" xfId="0" applyFont="1" applyBorder="1" applyAlignment="1">
      <alignment horizontal="center"/>
    </xf>
    <xf numFmtId="0" fontId="3" fillId="0" borderId="76"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center"/>
    </xf>
    <xf numFmtId="0" fontId="11" fillId="0" borderId="0" xfId="0" applyFont="1" applyAlignment="1">
      <alignment horizontal="center"/>
    </xf>
    <xf numFmtId="0" fontId="3" fillId="0" borderId="29" xfId="0" applyFont="1" applyBorder="1" applyAlignment="1">
      <alignment vertical="center" wrapText="1"/>
    </xf>
    <xf numFmtId="0" fontId="2" fillId="0" borderId="31" xfId="0" applyFont="1" applyBorder="1" applyAlignment="1">
      <alignmen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9" fillId="0" borderId="0" xfId="0" applyFont="1" applyAlignment="1">
      <alignment horizontal="center"/>
    </xf>
    <xf numFmtId="0" fontId="1" fillId="0" borderId="0" xfId="0" applyFont="1" applyAlignment="1">
      <alignment horizontal="center" wrapText="1"/>
    </xf>
    <xf numFmtId="0" fontId="17" fillId="0" borderId="0" xfId="0" applyFont="1" applyAlignment="1">
      <alignment horizontal="center" wrapText="1"/>
    </xf>
    <xf numFmtId="0" fontId="14" fillId="0" borderId="0" xfId="0" applyFont="1" applyAlignment="1">
      <alignment horizontal="center"/>
    </xf>
    <xf numFmtId="0" fontId="17" fillId="0" borderId="0" xfId="0" applyFont="1" applyFill="1" applyAlignment="1">
      <alignment horizontal="center" wrapText="1"/>
    </xf>
    <xf numFmtId="0" fontId="4" fillId="0" borderId="3" xfId="0" applyFont="1" applyBorder="1" applyAlignment="1">
      <alignment horizontal="center"/>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9" fillId="0" borderId="75" xfId="0" applyFont="1" applyBorder="1" applyAlignment="1">
      <alignment horizontal="center"/>
    </xf>
    <xf numFmtId="0" fontId="9" fillId="0" borderId="24" xfId="0" applyFont="1" applyBorder="1" applyAlignment="1">
      <alignment horizontal="center"/>
    </xf>
    <xf numFmtId="0" fontId="9" fillId="0" borderId="77" xfId="0" applyFont="1" applyBorder="1" applyAlignment="1">
      <alignment horizontal="center"/>
    </xf>
    <xf numFmtId="0" fontId="9" fillId="0" borderId="76" xfId="0" applyFont="1" applyBorder="1" applyAlignment="1">
      <alignment horizontal="center"/>
    </xf>
    <xf numFmtId="0" fontId="13" fillId="0" borderId="0" xfId="0" applyFont="1" applyAlignment="1">
      <alignment horizontal="left" vertical="center"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3" fillId="0" borderId="0" xfId="0" applyFont="1" applyFill="1" applyBorder="1" applyAlignment="1">
      <alignment horizontal="left" wrapText="1"/>
    </xf>
    <xf numFmtId="0" fontId="11" fillId="0" borderId="0" xfId="0" applyFont="1" applyAlignment="1">
      <alignment horizontal="center" vertical="center" wrapText="1"/>
    </xf>
    <xf numFmtId="0" fontId="13" fillId="0" borderId="0" xfId="0" applyFont="1" applyFill="1" applyBorder="1" applyAlignment="1">
      <alignment horizontal="left" vertical="center" wrapText="1"/>
    </xf>
    <xf numFmtId="0" fontId="10" fillId="0" borderId="2" xfId="0" applyFont="1" applyBorder="1" applyAlignment="1">
      <alignment horizontal="center" wrapText="1"/>
    </xf>
    <xf numFmtId="0" fontId="10" fillId="0" borderId="27" xfId="0" applyFont="1" applyBorder="1" applyAlignment="1">
      <alignment horizontal="center" wrapText="1"/>
    </xf>
    <xf numFmtId="0" fontId="14" fillId="0" borderId="48" xfId="0" applyFont="1" applyBorder="1" applyAlignment="1">
      <alignment horizontal="center"/>
    </xf>
    <xf numFmtId="0" fontId="14" fillId="0" borderId="51" xfId="0" applyFont="1" applyBorder="1" applyAlignment="1">
      <alignment horizontal="center"/>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4" xfId="0" applyFont="1" applyBorder="1" applyAlignment="1">
      <alignment horizontal="center" vertical="top" wrapText="1"/>
    </xf>
    <xf numFmtId="0" fontId="14" fillId="0" borderId="56" xfId="0" applyFont="1" applyBorder="1" applyAlignment="1">
      <alignment horizontal="center"/>
    </xf>
    <xf numFmtId="0" fontId="10" fillId="0" borderId="8" xfId="0" applyFont="1" applyBorder="1" applyAlignment="1">
      <alignment horizontal="center" wrapText="1"/>
    </xf>
    <xf numFmtId="0" fontId="10" fillId="0" borderId="47" xfId="0" applyFont="1" applyBorder="1" applyAlignment="1">
      <alignment horizontal="center" wrapText="1"/>
    </xf>
    <xf numFmtId="0" fontId="13" fillId="0" borderId="0" xfId="0" applyFont="1" applyAlignment="1">
      <alignment horizontal="left" vertical="center"/>
    </xf>
    <xf numFmtId="0" fontId="13" fillId="0" borderId="0" xfId="0" applyFont="1" applyFill="1" applyBorder="1" applyAlignment="1">
      <alignment horizontal="left"/>
    </xf>
    <xf numFmtId="0" fontId="14" fillId="0" borderId="49"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wrapText="1"/>
    </xf>
    <xf numFmtId="0" fontId="14" fillId="0" borderId="63" xfId="0" applyFont="1" applyBorder="1" applyAlignment="1">
      <alignment horizontal="center" vertical="center" wrapText="1"/>
    </xf>
    <xf numFmtId="0" fontId="14" fillId="0" borderId="31" xfId="0" applyFont="1" applyBorder="1" applyAlignment="1">
      <alignment horizontal="center" vertical="center" wrapText="1"/>
    </xf>
    <xf numFmtId="0" fontId="4" fillId="0" borderId="75" xfId="0" applyFont="1" applyBorder="1" applyAlignment="1">
      <alignment horizontal="center" vertical="center"/>
    </xf>
    <xf numFmtId="0" fontId="4" fillId="0" borderId="40" xfId="0" applyFont="1" applyBorder="1" applyAlignment="1">
      <alignment horizontal="center" vertical="center"/>
    </xf>
    <xf numFmtId="167" fontId="13" fillId="0" borderId="0" xfId="0" applyNumberFormat="1" applyFont="1" applyAlignment="1">
      <alignment horizontal="left"/>
    </xf>
    <xf numFmtId="0" fontId="4" fillId="0" borderId="72"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5"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5" xfId="0" applyFont="1" applyBorder="1" applyAlignment="1">
      <alignment horizontal="center" vertical="center" wrapText="1"/>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15" fontId="13" fillId="0" borderId="0" xfId="0" applyNumberFormat="1" applyFont="1" applyAlignment="1">
      <alignment horizontal="left"/>
    </xf>
    <xf numFmtId="0" fontId="4" fillId="0" borderId="5"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0" xfId="0" applyFont="1" applyBorder="1" applyAlignment="1">
      <alignment horizontal="center" vertical="center" wrapText="1"/>
    </xf>
    <xf numFmtId="0" fontId="23" fillId="0" borderId="0" xfId="0" applyFont="1" applyAlignment="1">
      <alignment horizontal="center" wrapText="1"/>
    </xf>
    <xf numFmtId="0" fontId="14" fillId="0" borderId="57"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37" xfId="0" applyFont="1" applyBorder="1" applyAlignment="1">
      <alignment horizontal="center" vertical="center"/>
    </xf>
    <xf numFmtId="0" fontId="14" fillId="0" borderId="3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63" xfId="0" applyFont="1" applyBorder="1" applyAlignment="1">
      <alignment horizontal="left" vertical="center" wrapText="1"/>
    </xf>
    <xf numFmtId="0" fontId="14" fillId="0" borderId="31" xfId="0" applyFont="1" applyBorder="1" applyAlignment="1">
      <alignment horizontal="left" vertical="center" wrapText="1"/>
    </xf>
    <xf numFmtId="0" fontId="14" fillId="0" borderId="36" xfId="0" applyFont="1" applyBorder="1" applyAlignment="1">
      <alignment horizontal="left" vertical="center" wrapText="1"/>
    </xf>
    <xf numFmtId="0" fontId="14" fillId="0" borderId="45" xfId="0" applyFont="1" applyBorder="1" applyAlignment="1">
      <alignment horizontal="left" vertical="center" wrapText="1"/>
    </xf>
    <xf numFmtId="15" fontId="17" fillId="0" borderId="0" xfId="0" applyNumberFormat="1" applyFont="1" applyAlignment="1">
      <alignment horizontal="left"/>
    </xf>
    <xf numFmtId="0" fontId="14" fillId="0" borderId="52"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4" fillId="0" borderId="8" xfId="0" applyFont="1" applyBorder="1" applyAlignment="1">
      <alignment horizontal="center" vertical="center"/>
    </xf>
    <xf numFmtId="167" fontId="17" fillId="0" borderId="0" xfId="0" applyNumberFormat="1" applyFont="1" applyAlignment="1">
      <alignment horizontal="left"/>
    </xf>
    <xf numFmtId="0" fontId="14"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2" xfId="0" applyFont="1" applyBorder="1" applyAlignment="1">
      <alignment horizontal="left" vertical="center" wrapText="1"/>
    </xf>
    <xf numFmtId="0" fontId="14" fillId="0" borderId="46" xfId="0" applyFont="1" applyBorder="1" applyAlignment="1">
      <alignment horizontal="left" vertical="center" wrapText="1"/>
    </xf>
    <xf numFmtId="0" fontId="24" fillId="0" borderId="0" xfId="0" applyFont="1" applyAlignment="1">
      <alignment horizontal="center" wrapText="1"/>
    </xf>
    <xf numFmtId="0" fontId="4" fillId="0" borderId="44" xfId="0" applyFont="1" applyBorder="1" applyAlignment="1">
      <alignment horizontal="left"/>
    </xf>
    <xf numFmtId="0" fontId="14" fillId="0" borderId="68" xfId="0" applyFont="1" applyBorder="1" applyAlignment="1">
      <alignment horizontal="center" vertical="center" wrapText="1"/>
    </xf>
    <xf numFmtId="0" fontId="4" fillId="0" borderId="6" xfId="0" applyFont="1" applyBorder="1" applyAlignment="1">
      <alignment horizontal="center" vertical="center"/>
    </xf>
    <xf numFmtId="166" fontId="2" fillId="0" borderId="33" xfId="2" applyNumberFormat="1" applyFont="1" applyBorder="1" applyAlignment="1">
      <alignment horizontal="center"/>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1"/>
  <sheetViews>
    <sheetView topLeftCell="C10" zoomScaleNormal="100" workbookViewId="0">
      <selection activeCell="P23" sqref="P23"/>
    </sheetView>
  </sheetViews>
  <sheetFormatPr defaultRowHeight="12.75"/>
  <cols>
    <col min="1" max="1" width="17.42578125" customWidth="1"/>
    <col min="2" max="2" width="8" customWidth="1"/>
    <col min="3" max="3" width="7.7109375" customWidth="1"/>
    <col min="4" max="4" width="8.42578125" customWidth="1"/>
    <col min="5" max="5" width="7.28515625" customWidth="1"/>
    <col min="6" max="6" width="6.28515625" customWidth="1"/>
    <col min="7" max="7" width="7" customWidth="1"/>
    <col min="8" max="8" width="7.5703125" customWidth="1"/>
    <col min="9" max="9" width="8.140625" customWidth="1"/>
    <col min="10" max="10" width="7.85546875" customWidth="1"/>
    <col min="11" max="11" width="8.5703125" customWidth="1"/>
    <col min="12" max="12" width="7.42578125" customWidth="1"/>
    <col min="13" max="13" width="6.5703125" customWidth="1"/>
    <col min="14" max="14" width="7" customWidth="1"/>
    <col min="15" max="15" width="7.7109375" customWidth="1"/>
    <col min="16" max="17" width="7" customWidth="1"/>
    <col min="18" max="18" width="10" customWidth="1"/>
  </cols>
  <sheetData>
    <row r="1" spans="1:18">
      <c r="A1" s="427" t="s">
        <v>103</v>
      </c>
      <c r="P1" s="525"/>
      <c r="Q1" s="525"/>
      <c r="R1" s="525"/>
    </row>
    <row r="2" spans="1:18">
      <c r="A2" s="50"/>
      <c r="B2" s="61"/>
      <c r="C2" s="61"/>
      <c r="D2" s="141" t="s">
        <v>102</v>
      </c>
      <c r="E2" s="141"/>
      <c r="F2" s="141"/>
      <c r="G2" s="141"/>
      <c r="H2" s="141"/>
      <c r="I2" s="141"/>
      <c r="J2" s="141"/>
      <c r="K2" s="141"/>
      <c r="L2" s="141"/>
      <c r="M2" s="141"/>
      <c r="N2" s="61"/>
      <c r="O2" s="61"/>
      <c r="P2" s="61"/>
      <c r="Q2" s="61"/>
      <c r="R2" s="61"/>
    </row>
    <row r="3" spans="1:18">
      <c r="A3" s="61"/>
      <c r="B3" s="61"/>
      <c r="C3" s="61"/>
      <c r="D3" s="141" t="s">
        <v>131</v>
      </c>
      <c r="E3" s="141"/>
      <c r="F3" s="141"/>
      <c r="G3" s="141"/>
      <c r="H3" s="141"/>
      <c r="I3" s="141"/>
      <c r="J3" s="141"/>
      <c r="K3" s="141"/>
      <c r="L3" s="141"/>
      <c r="M3" s="141"/>
      <c r="N3" s="61"/>
      <c r="O3" s="61"/>
      <c r="P3" s="61"/>
      <c r="Q3" s="61"/>
      <c r="R3" s="61"/>
    </row>
    <row r="4" spans="1:18" ht="13.5" thickBot="1">
      <c r="A4" s="1"/>
      <c r="B4" s="1"/>
      <c r="C4" s="2"/>
      <c r="D4" s="1"/>
      <c r="E4" s="1"/>
      <c r="F4" s="1"/>
      <c r="G4" s="1"/>
      <c r="H4" s="1"/>
      <c r="I4" s="1"/>
      <c r="J4" s="1"/>
      <c r="K4" s="1"/>
      <c r="L4" s="1"/>
      <c r="M4" s="1"/>
      <c r="N4" s="1"/>
      <c r="O4" s="1"/>
      <c r="P4" s="1"/>
      <c r="Q4" s="1"/>
      <c r="R4" s="1"/>
    </row>
    <row r="5" spans="1:18" ht="18.75" customHeight="1" thickBot="1">
      <c r="A5" s="6"/>
      <c r="B5" s="523" t="s">
        <v>10</v>
      </c>
      <c r="C5" s="523"/>
      <c r="D5" s="523"/>
      <c r="E5" s="523"/>
      <c r="F5" s="523"/>
      <c r="G5" s="523"/>
      <c r="H5" s="524"/>
      <c r="I5" s="523" t="s">
        <v>11</v>
      </c>
      <c r="J5" s="523"/>
      <c r="K5" s="523"/>
      <c r="L5" s="523"/>
      <c r="M5" s="523"/>
      <c r="N5" s="523"/>
      <c r="O5" s="524"/>
      <c r="P5" s="70" t="s">
        <v>13</v>
      </c>
      <c r="Q5" s="243" t="s">
        <v>13</v>
      </c>
      <c r="R5" s="15" t="s">
        <v>8</v>
      </c>
    </row>
    <row r="6" spans="1:18" ht="18" customHeight="1">
      <c r="A6" s="132" t="s">
        <v>0</v>
      </c>
      <c r="B6" s="205" t="s">
        <v>1</v>
      </c>
      <c r="C6" s="7" t="s">
        <v>2</v>
      </c>
      <c r="D6" s="7" t="s">
        <v>3</v>
      </c>
      <c r="E6" s="7" t="s">
        <v>4</v>
      </c>
      <c r="F6" s="7" t="s">
        <v>5</v>
      </c>
      <c r="G6" s="7" t="s">
        <v>6</v>
      </c>
      <c r="H6" s="72" t="s">
        <v>12</v>
      </c>
      <c r="I6" s="238" t="s">
        <v>1</v>
      </c>
      <c r="J6" s="237" t="s">
        <v>2</v>
      </c>
      <c r="K6" s="281" t="s">
        <v>3</v>
      </c>
      <c r="L6" s="237" t="s">
        <v>4</v>
      </c>
      <c r="M6" s="237" t="s">
        <v>5</v>
      </c>
      <c r="N6" s="237" t="s">
        <v>6</v>
      </c>
      <c r="O6" s="282" t="s">
        <v>12</v>
      </c>
      <c r="P6" s="74" t="s">
        <v>6</v>
      </c>
      <c r="Q6" s="244" t="s">
        <v>6</v>
      </c>
      <c r="R6" s="239" t="s">
        <v>9</v>
      </c>
    </row>
    <row r="7" spans="1:18" ht="18" customHeight="1" thickBot="1">
      <c r="A7" s="24"/>
      <c r="B7" s="252"/>
      <c r="C7" s="113"/>
      <c r="D7" s="113"/>
      <c r="E7" s="113"/>
      <c r="F7" s="113"/>
      <c r="G7" s="113"/>
      <c r="H7" s="18"/>
      <c r="I7" s="114"/>
      <c r="J7" s="113"/>
      <c r="K7" s="115"/>
      <c r="L7" s="113"/>
      <c r="M7" s="113"/>
      <c r="N7" s="113"/>
      <c r="O7" s="254"/>
      <c r="P7" s="74">
        <v>2014</v>
      </c>
      <c r="Q7" s="129">
        <v>2013</v>
      </c>
      <c r="R7" s="130"/>
    </row>
    <row r="8" spans="1:18" ht="15.95" customHeight="1">
      <c r="A8" s="249" t="s">
        <v>23</v>
      </c>
      <c r="B8" s="65">
        <v>5170</v>
      </c>
      <c r="C8" s="65">
        <v>2898</v>
      </c>
      <c r="D8" s="52">
        <v>3602</v>
      </c>
      <c r="E8" s="52">
        <v>4637</v>
      </c>
      <c r="F8" s="52">
        <v>2921</v>
      </c>
      <c r="G8" s="60">
        <f t="shared" ref="G8" si="0">SUM(B8:F8)</f>
        <v>19228</v>
      </c>
      <c r="H8" s="500">
        <f t="shared" ref="H8" si="1">+G8/P8</f>
        <v>0.50160436177705892</v>
      </c>
      <c r="I8" s="59">
        <v>4630</v>
      </c>
      <c r="J8" s="60">
        <v>2599</v>
      </c>
      <c r="K8" s="60">
        <v>4432</v>
      </c>
      <c r="L8" s="60">
        <v>3985</v>
      </c>
      <c r="M8" s="60">
        <v>3459</v>
      </c>
      <c r="N8" s="60">
        <f t="shared" ref="N8" si="2">SUM(I8:M8)</f>
        <v>19105</v>
      </c>
      <c r="O8" s="500">
        <f t="shared" ref="O8" si="3">+N8/P8</f>
        <v>0.49839563822294108</v>
      </c>
      <c r="P8" s="59">
        <f t="shared" ref="P8:P10" si="4">+G8+N8</f>
        <v>38333</v>
      </c>
      <c r="Q8" s="60">
        <v>36466</v>
      </c>
      <c r="R8" s="501">
        <f t="shared" ref="R8:R13" si="5">+(P8/Q8)-1</f>
        <v>5.1198376569955517E-2</v>
      </c>
    </row>
    <row r="9" spans="1:18" ht="15.95" customHeight="1">
      <c r="A9" s="31" t="s">
        <v>24</v>
      </c>
      <c r="B9" s="66">
        <v>4882</v>
      </c>
      <c r="C9" s="66">
        <v>2791</v>
      </c>
      <c r="D9" s="54">
        <v>3476</v>
      </c>
      <c r="E9" s="54">
        <v>4537</v>
      </c>
      <c r="F9" s="54">
        <v>2783</v>
      </c>
      <c r="G9" s="54">
        <f t="shared" ref="G9" si="6">SUM(B9:F9)</f>
        <v>18469</v>
      </c>
      <c r="H9" s="345">
        <f t="shared" ref="H9" si="7">+G9/P9</f>
        <v>0.5005013414270616</v>
      </c>
      <c r="I9" s="53">
        <v>4361</v>
      </c>
      <c r="J9" s="54">
        <v>2467</v>
      </c>
      <c r="K9" s="54">
        <v>4445</v>
      </c>
      <c r="L9" s="54">
        <v>3869</v>
      </c>
      <c r="M9" s="54">
        <v>3290</v>
      </c>
      <c r="N9" s="54">
        <f t="shared" ref="N9" si="8">SUM(I9:M9)</f>
        <v>18432</v>
      </c>
      <c r="O9" s="345">
        <f t="shared" ref="O9" si="9">+N9/P9</f>
        <v>0.4994986585729384</v>
      </c>
      <c r="P9" s="53">
        <f t="shared" si="4"/>
        <v>36901</v>
      </c>
      <c r="Q9" s="54">
        <v>36211</v>
      </c>
      <c r="R9" s="502">
        <f t="shared" si="5"/>
        <v>1.9054983292369654E-2</v>
      </c>
    </row>
    <row r="10" spans="1:18" ht="15.95" customHeight="1">
      <c r="A10" s="31" t="s">
        <v>25</v>
      </c>
      <c r="B10" s="66">
        <v>4709</v>
      </c>
      <c r="C10" s="66">
        <v>2595</v>
      </c>
      <c r="D10" s="54">
        <v>3332</v>
      </c>
      <c r="E10" s="54">
        <v>4288</v>
      </c>
      <c r="F10" s="54">
        <v>2697</v>
      </c>
      <c r="G10" s="54">
        <f t="shared" ref="G10" si="10">SUM(B10:F10)</f>
        <v>17621</v>
      </c>
      <c r="H10" s="345">
        <f t="shared" ref="H10" si="11">+G10/P10</f>
        <v>0.50322709618460137</v>
      </c>
      <c r="I10" s="53">
        <v>4224</v>
      </c>
      <c r="J10" s="54">
        <v>2250</v>
      </c>
      <c r="K10" s="54">
        <v>4340</v>
      </c>
      <c r="L10" s="54">
        <v>3594</v>
      </c>
      <c r="M10" s="54">
        <v>2987</v>
      </c>
      <c r="N10" s="54">
        <f t="shared" ref="N10" si="12">SUM(I10:M10)</f>
        <v>17395</v>
      </c>
      <c r="O10" s="345">
        <f t="shared" ref="O10" si="13">+N10/P10</f>
        <v>0.49677290381539868</v>
      </c>
      <c r="P10" s="53">
        <f t="shared" si="4"/>
        <v>35016</v>
      </c>
      <c r="Q10" s="54">
        <v>35234</v>
      </c>
      <c r="R10" s="502">
        <f t="shared" si="5"/>
        <v>-6.1872055401033244E-3</v>
      </c>
    </row>
    <row r="11" spans="1:18" ht="15.95" customHeight="1">
      <c r="A11" s="31" t="s">
        <v>26</v>
      </c>
      <c r="B11" s="66">
        <v>4514</v>
      </c>
      <c r="C11" s="66">
        <v>2293</v>
      </c>
      <c r="D11" s="54">
        <v>2066</v>
      </c>
      <c r="E11" s="54">
        <v>3854</v>
      </c>
      <c r="F11" s="54">
        <v>1920</v>
      </c>
      <c r="G11" s="54">
        <f t="shared" ref="G11:G13" si="14">SUM(B11:F11)</f>
        <v>14647</v>
      </c>
      <c r="H11" s="345">
        <f t="shared" ref="H11:H13" si="15">+G11/P11</f>
        <v>0.51906584449642068</v>
      </c>
      <c r="I11" s="55">
        <v>4089</v>
      </c>
      <c r="J11" s="56">
        <v>1916</v>
      </c>
      <c r="K11" s="56">
        <v>2756</v>
      </c>
      <c r="L11" s="56">
        <v>3212</v>
      </c>
      <c r="M11" s="56">
        <v>1598</v>
      </c>
      <c r="N11" s="54">
        <f t="shared" ref="N11" si="16">SUM(I11:M11)</f>
        <v>13571</v>
      </c>
      <c r="O11" s="345">
        <f t="shared" ref="O11" si="17">+N11/P11</f>
        <v>0.48093415550357926</v>
      </c>
      <c r="P11" s="53">
        <f t="shared" ref="P11:P13" si="18">+G11+N11</f>
        <v>28218</v>
      </c>
      <c r="Q11" s="56">
        <v>31887</v>
      </c>
      <c r="R11" s="502">
        <f t="shared" si="5"/>
        <v>-0.11506256468153164</v>
      </c>
    </row>
    <row r="12" spans="1:18" ht="15.95" customHeight="1">
      <c r="A12" s="249" t="s">
        <v>27</v>
      </c>
      <c r="B12" s="75">
        <v>4247</v>
      </c>
      <c r="C12" s="75">
        <v>2038</v>
      </c>
      <c r="D12" s="56">
        <v>954</v>
      </c>
      <c r="E12" s="56">
        <v>3606</v>
      </c>
      <c r="F12" s="56">
        <v>1598</v>
      </c>
      <c r="G12" s="54">
        <f t="shared" si="14"/>
        <v>12443</v>
      </c>
      <c r="H12" s="345">
        <f t="shared" si="15"/>
        <v>0.53323334047568027</v>
      </c>
      <c r="I12" s="55">
        <v>3933</v>
      </c>
      <c r="J12" s="56">
        <v>1586</v>
      </c>
      <c r="K12" s="56">
        <v>1035</v>
      </c>
      <c r="L12" s="56">
        <v>3114</v>
      </c>
      <c r="M12" s="56">
        <v>1224</v>
      </c>
      <c r="N12" s="54">
        <f t="shared" ref="N12" si="19">SUM(I12:M12)</f>
        <v>10892</v>
      </c>
      <c r="O12" s="345">
        <f t="shared" ref="O12" si="20">+N12/P12</f>
        <v>0.46676665952431967</v>
      </c>
      <c r="P12" s="53">
        <f t="shared" si="18"/>
        <v>23335</v>
      </c>
      <c r="Q12" s="56">
        <v>27981</v>
      </c>
      <c r="R12" s="502">
        <f t="shared" si="5"/>
        <v>-0.16604124227154138</v>
      </c>
    </row>
    <row r="13" spans="1:18" ht="15.95" customHeight="1" thickBot="1">
      <c r="A13" s="250" t="s">
        <v>28</v>
      </c>
      <c r="B13" s="67">
        <v>3917</v>
      </c>
      <c r="C13" s="67">
        <v>1849</v>
      </c>
      <c r="D13" s="37">
        <v>659</v>
      </c>
      <c r="E13" s="37">
        <v>3279</v>
      </c>
      <c r="F13" s="37">
        <v>1337</v>
      </c>
      <c r="G13" s="37">
        <f t="shared" si="14"/>
        <v>11041</v>
      </c>
      <c r="H13" s="345">
        <f t="shared" si="15"/>
        <v>0.48092168307343847</v>
      </c>
      <c r="I13" s="38">
        <v>4603</v>
      </c>
      <c r="J13" s="37">
        <v>1836</v>
      </c>
      <c r="K13" s="37">
        <v>664</v>
      </c>
      <c r="L13" s="37">
        <v>3603</v>
      </c>
      <c r="M13" s="37">
        <v>1211</v>
      </c>
      <c r="N13" s="54">
        <f t="shared" ref="N13" si="21">SUM(I13:M13)</f>
        <v>11917</v>
      </c>
      <c r="O13" s="345">
        <f t="shared" ref="O13" si="22">+N13/P13</f>
        <v>0.51907831692656159</v>
      </c>
      <c r="P13" s="53">
        <f t="shared" si="18"/>
        <v>22958</v>
      </c>
      <c r="Q13" s="56">
        <v>28290</v>
      </c>
      <c r="R13" s="502">
        <f t="shared" si="5"/>
        <v>-0.18847649346058681</v>
      </c>
    </row>
    <row r="14" spans="1:18" ht="15.95" customHeight="1">
      <c r="A14" s="521" t="s">
        <v>49</v>
      </c>
      <c r="B14" s="253"/>
      <c r="C14" s="45"/>
      <c r="D14" s="45"/>
      <c r="E14" s="45"/>
      <c r="F14" s="45"/>
      <c r="G14" s="45"/>
      <c r="H14" s="117"/>
      <c r="I14" s="44"/>
      <c r="J14" s="45"/>
      <c r="K14" s="45"/>
      <c r="L14" s="45"/>
      <c r="M14" s="118"/>
      <c r="N14" s="45"/>
      <c r="O14" s="117"/>
      <c r="P14" s="68"/>
      <c r="Q14" s="45"/>
      <c r="R14" s="119"/>
    </row>
    <row r="15" spans="1:18" ht="19.5" customHeight="1" thickBot="1">
      <c r="A15" s="522"/>
      <c r="B15" s="320">
        <f t="shared" ref="B15:G15" si="23">AVERAGE(B8:B13)</f>
        <v>4573.166666666667</v>
      </c>
      <c r="C15" s="321">
        <f t="shared" si="23"/>
        <v>2410.6666666666665</v>
      </c>
      <c r="D15" s="321">
        <f t="shared" si="23"/>
        <v>2348.1666666666665</v>
      </c>
      <c r="E15" s="321">
        <f t="shared" si="23"/>
        <v>4033.5</v>
      </c>
      <c r="F15" s="321">
        <f t="shared" si="23"/>
        <v>2209.3333333333335</v>
      </c>
      <c r="G15" s="321">
        <f t="shared" si="23"/>
        <v>15574.833333333334</v>
      </c>
      <c r="H15" s="322">
        <f t="shared" ref="H15:H23" si="24">+G15/P15</f>
        <v>0.50578314687623471</v>
      </c>
      <c r="I15" s="323">
        <f t="shared" ref="I15:N15" si="25">AVERAGE(I8:I13)</f>
        <v>4306.666666666667</v>
      </c>
      <c r="J15" s="321">
        <f t="shared" si="25"/>
        <v>2109</v>
      </c>
      <c r="K15" s="321">
        <f t="shared" si="25"/>
        <v>2945.3333333333335</v>
      </c>
      <c r="L15" s="321">
        <f t="shared" si="25"/>
        <v>3562.8333333333335</v>
      </c>
      <c r="M15" s="324">
        <f t="shared" si="25"/>
        <v>2294.8333333333335</v>
      </c>
      <c r="N15" s="321">
        <f t="shared" si="25"/>
        <v>15218.666666666666</v>
      </c>
      <c r="O15" s="322">
        <f t="shared" ref="O15:O23" si="26">+N15/P15</f>
        <v>0.49421685312376529</v>
      </c>
      <c r="P15" s="325">
        <f>AVERAGE(P8:P13)</f>
        <v>30793.5</v>
      </c>
      <c r="Q15" s="321">
        <f>AVERAGE(Q8:Q13)</f>
        <v>32678.166666666668</v>
      </c>
      <c r="R15" s="326">
        <f>+(P15/Q15)-1</f>
        <v>-5.767357409891416E-2</v>
      </c>
    </row>
    <row r="16" spans="1:18" ht="15.95" customHeight="1">
      <c r="A16" s="248" t="s">
        <v>29</v>
      </c>
      <c r="B16" s="75">
        <v>3599</v>
      </c>
      <c r="C16" s="75">
        <v>1638</v>
      </c>
      <c r="D16" s="56">
        <v>576</v>
      </c>
      <c r="E16" s="56">
        <v>3077</v>
      </c>
      <c r="F16" s="56">
        <v>1199</v>
      </c>
      <c r="G16" s="52">
        <f t="shared" ref="G16:G21" si="27">SUM(B16:F16)</f>
        <v>10089</v>
      </c>
      <c r="H16" s="345">
        <f t="shared" si="24"/>
        <v>0.44661354581673307</v>
      </c>
      <c r="I16" s="55">
        <v>4912</v>
      </c>
      <c r="J16" s="56">
        <v>1879</v>
      </c>
      <c r="K16" s="56">
        <v>623</v>
      </c>
      <c r="L16" s="56">
        <v>3875</v>
      </c>
      <c r="M16" s="56">
        <v>1212</v>
      </c>
      <c r="N16" s="56">
        <f t="shared" ref="N16:N21" si="28">SUM(I16:M16)</f>
        <v>12501</v>
      </c>
      <c r="O16" s="345">
        <f t="shared" si="26"/>
        <v>0.55338645418326693</v>
      </c>
      <c r="P16" s="53">
        <f t="shared" ref="P16:P21" si="29">+G16+N16</f>
        <v>22590</v>
      </c>
      <c r="Q16" s="56">
        <v>29528</v>
      </c>
      <c r="R16" s="502">
        <f t="shared" ref="R16:R21" si="30">+(P16/Q16)-1</f>
        <v>-0.23496342454619346</v>
      </c>
    </row>
    <row r="17" spans="1:18" ht="15.95" customHeight="1">
      <c r="A17" s="31" t="s">
        <v>7</v>
      </c>
      <c r="B17" s="75">
        <v>3382</v>
      </c>
      <c r="C17" s="75">
        <v>1456</v>
      </c>
      <c r="D17" s="56">
        <v>535</v>
      </c>
      <c r="E17" s="56">
        <v>2877</v>
      </c>
      <c r="F17" s="56">
        <v>1139</v>
      </c>
      <c r="G17" s="56">
        <f t="shared" si="27"/>
        <v>9389</v>
      </c>
      <c r="H17" s="345">
        <f t="shared" si="24"/>
        <v>0.43808324001493093</v>
      </c>
      <c r="I17" s="245">
        <v>4799</v>
      </c>
      <c r="J17" s="69">
        <v>1770</v>
      </c>
      <c r="K17" s="69">
        <v>591</v>
      </c>
      <c r="L17" s="69">
        <v>3744</v>
      </c>
      <c r="M17" s="69">
        <v>1139</v>
      </c>
      <c r="N17" s="56">
        <f t="shared" si="28"/>
        <v>12043</v>
      </c>
      <c r="O17" s="345">
        <f t="shared" si="26"/>
        <v>0.56191675998506907</v>
      </c>
      <c r="P17" s="53">
        <f t="shared" si="29"/>
        <v>21432</v>
      </c>
      <c r="Q17" s="56">
        <v>30345</v>
      </c>
      <c r="R17" s="502">
        <f t="shared" si="30"/>
        <v>-0.29372219476025707</v>
      </c>
    </row>
    <row r="18" spans="1:18" ht="15.95" customHeight="1">
      <c r="A18" s="31" t="s">
        <v>30</v>
      </c>
      <c r="B18" s="66">
        <v>3380</v>
      </c>
      <c r="C18" s="66">
        <v>1456</v>
      </c>
      <c r="D18" s="54">
        <v>573</v>
      </c>
      <c r="E18" s="54">
        <v>2879</v>
      </c>
      <c r="F18" s="54">
        <v>1171</v>
      </c>
      <c r="G18" s="56">
        <f t="shared" si="27"/>
        <v>9459</v>
      </c>
      <c r="H18" s="345">
        <f t="shared" si="24"/>
        <v>0.43995348837209303</v>
      </c>
      <c r="I18" s="53">
        <v>4694</v>
      </c>
      <c r="J18" s="54">
        <v>1753</v>
      </c>
      <c r="K18" s="54">
        <v>613</v>
      </c>
      <c r="L18" s="54">
        <v>3773</v>
      </c>
      <c r="M18" s="54">
        <v>1208</v>
      </c>
      <c r="N18" s="56">
        <f t="shared" si="28"/>
        <v>12041</v>
      </c>
      <c r="O18" s="345">
        <f t="shared" si="26"/>
        <v>0.56004651162790697</v>
      </c>
      <c r="P18" s="53">
        <f t="shared" si="29"/>
        <v>21500</v>
      </c>
      <c r="Q18" s="54">
        <v>29550</v>
      </c>
      <c r="R18" s="502">
        <f t="shared" si="30"/>
        <v>-0.27241962774957695</v>
      </c>
    </row>
    <row r="19" spans="1:18" ht="15.95" customHeight="1">
      <c r="A19" s="31" t="s">
        <v>31</v>
      </c>
      <c r="B19" s="66">
        <v>3021</v>
      </c>
      <c r="C19" s="66">
        <v>1395</v>
      </c>
      <c r="D19" s="54">
        <v>717</v>
      </c>
      <c r="E19" s="54">
        <v>2656</v>
      </c>
      <c r="F19" s="54">
        <v>1154</v>
      </c>
      <c r="G19" s="56">
        <f t="shared" si="27"/>
        <v>8943</v>
      </c>
      <c r="H19" s="345">
        <f t="shared" si="24"/>
        <v>0.49857835758488039</v>
      </c>
      <c r="I19" s="53">
        <v>3283</v>
      </c>
      <c r="J19" s="54">
        <v>1363</v>
      </c>
      <c r="K19" s="54">
        <v>640</v>
      </c>
      <c r="L19" s="54">
        <v>2686</v>
      </c>
      <c r="M19" s="54">
        <v>1022</v>
      </c>
      <c r="N19" s="56">
        <f t="shared" si="28"/>
        <v>8994</v>
      </c>
      <c r="O19" s="345">
        <f t="shared" si="26"/>
        <v>0.50142164241511955</v>
      </c>
      <c r="P19" s="53">
        <f t="shared" si="29"/>
        <v>17937</v>
      </c>
      <c r="Q19" s="56">
        <v>27093</v>
      </c>
      <c r="R19" s="502">
        <f t="shared" si="30"/>
        <v>-0.33794707119920275</v>
      </c>
    </row>
    <row r="20" spans="1:18" ht="15.95" customHeight="1">
      <c r="A20" s="31" t="s">
        <v>32</v>
      </c>
      <c r="B20" s="66">
        <v>2961</v>
      </c>
      <c r="C20" s="66">
        <v>1838</v>
      </c>
      <c r="D20" s="54">
        <v>3059</v>
      </c>
      <c r="E20" s="54">
        <v>2959</v>
      </c>
      <c r="F20" s="54">
        <v>2025</v>
      </c>
      <c r="G20" s="56">
        <f t="shared" si="27"/>
        <v>12842</v>
      </c>
      <c r="H20" s="345">
        <f t="shared" si="24"/>
        <v>0.49748198651894321</v>
      </c>
      <c r="I20" s="53">
        <v>2818</v>
      </c>
      <c r="J20" s="54">
        <v>1644</v>
      </c>
      <c r="K20" s="54">
        <v>3593</v>
      </c>
      <c r="L20" s="54">
        <v>2742</v>
      </c>
      <c r="M20" s="54">
        <v>2175</v>
      </c>
      <c r="N20" s="54">
        <f t="shared" si="28"/>
        <v>12972</v>
      </c>
      <c r="O20" s="257">
        <f t="shared" si="26"/>
        <v>0.50251801348105674</v>
      </c>
      <c r="P20" s="66">
        <f t="shared" si="29"/>
        <v>25814</v>
      </c>
      <c r="Q20" s="56">
        <v>32643</v>
      </c>
      <c r="R20" s="240">
        <f t="shared" si="30"/>
        <v>-0.20920258554667159</v>
      </c>
    </row>
    <row r="21" spans="1:18" ht="15.95" customHeight="1" thickBot="1">
      <c r="A21" s="250" t="s">
        <v>33</v>
      </c>
      <c r="B21" s="67">
        <v>3024</v>
      </c>
      <c r="C21" s="67">
        <v>2056</v>
      </c>
      <c r="D21" s="37">
        <v>3669</v>
      </c>
      <c r="E21" s="37">
        <v>3154</v>
      </c>
      <c r="F21" s="37">
        <v>2663</v>
      </c>
      <c r="G21" s="69">
        <f t="shared" si="27"/>
        <v>14566</v>
      </c>
      <c r="H21" s="345">
        <f t="shared" si="24"/>
        <v>0.49148024428923304</v>
      </c>
      <c r="I21" s="38">
        <v>2808</v>
      </c>
      <c r="J21" s="67">
        <v>1977</v>
      </c>
      <c r="K21" s="37">
        <v>4426</v>
      </c>
      <c r="L21" s="37">
        <v>2808</v>
      </c>
      <c r="M21" s="37">
        <v>3052</v>
      </c>
      <c r="N21" s="37">
        <f t="shared" si="28"/>
        <v>15071</v>
      </c>
      <c r="O21" s="256">
        <f t="shared" si="26"/>
        <v>0.50851975571076691</v>
      </c>
      <c r="P21" s="67">
        <f t="shared" si="29"/>
        <v>29637</v>
      </c>
      <c r="Q21" s="364">
        <v>36716</v>
      </c>
      <c r="R21" s="241">
        <f t="shared" si="30"/>
        <v>-0.19280422703998257</v>
      </c>
    </row>
    <row r="22" spans="1:18" ht="15.95" customHeight="1">
      <c r="A22" s="521" t="s">
        <v>47</v>
      </c>
      <c r="B22" s="63"/>
      <c r="C22" s="60"/>
      <c r="D22" s="60"/>
      <c r="E22" s="60"/>
      <c r="F22" s="60"/>
      <c r="G22" s="63"/>
      <c r="H22" s="64"/>
      <c r="I22" s="59"/>
      <c r="J22" s="60"/>
      <c r="K22" s="60"/>
      <c r="L22" s="60"/>
      <c r="M22" s="60"/>
      <c r="N22" s="60"/>
      <c r="O22" s="117"/>
      <c r="P22" s="63"/>
      <c r="Q22" s="60"/>
      <c r="R22" s="119"/>
    </row>
    <row r="23" spans="1:18" ht="21.75" customHeight="1" thickBot="1">
      <c r="A23" s="522"/>
      <c r="B23" s="171">
        <f t="shared" ref="B23:G23" si="31">AVERAGE(B16:B21)</f>
        <v>3227.8333333333335</v>
      </c>
      <c r="C23" s="171">
        <f t="shared" si="31"/>
        <v>1639.8333333333333</v>
      </c>
      <c r="D23" s="171">
        <f t="shared" si="31"/>
        <v>1521.5</v>
      </c>
      <c r="E23" s="171">
        <f t="shared" si="31"/>
        <v>2933.6666666666665</v>
      </c>
      <c r="F23" s="171">
        <f t="shared" si="31"/>
        <v>1558.5</v>
      </c>
      <c r="G23" s="171">
        <f t="shared" si="31"/>
        <v>10881.333333333334</v>
      </c>
      <c r="H23" s="171">
        <f t="shared" si="24"/>
        <v>0.47000215967172992</v>
      </c>
      <c r="I23" s="46">
        <f t="shared" ref="I23:N23" si="32">AVERAGE(I16:I21)</f>
        <v>3885.6666666666665</v>
      </c>
      <c r="J23" s="46">
        <f t="shared" si="32"/>
        <v>1731</v>
      </c>
      <c r="K23" s="46">
        <f t="shared" si="32"/>
        <v>1747.6666666666667</v>
      </c>
      <c r="L23" s="46">
        <f t="shared" si="32"/>
        <v>3271.3333333333335</v>
      </c>
      <c r="M23" s="46">
        <f t="shared" si="32"/>
        <v>1634.6666666666667</v>
      </c>
      <c r="N23" s="46">
        <f t="shared" si="32"/>
        <v>12270.333333333334</v>
      </c>
      <c r="O23" s="73">
        <f t="shared" si="26"/>
        <v>0.52999784032827013</v>
      </c>
      <c r="P23" s="171">
        <f>AVERAGE(P16:P21)</f>
        <v>23151.666666666668</v>
      </c>
      <c r="Q23" s="47">
        <f>AVERAGE(Q16:Q21)</f>
        <v>30979.166666666668</v>
      </c>
      <c r="R23" s="120">
        <f>+(P23/Q23)-1</f>
        <v>-0.25266980497646263</v>
      </c>
    </row>
    <row r="24" spans="1:18" ht="15.95" customHeight="1">
      <c r="A24" s="521" t="s">
        <v>52</v>
      </c>
      <c r="B24" s="205"/>
      <c r="C24" s="7"/>
      <c r="D24" s="7"/>
      <c r="E24" s="7"/>
      <c r="F24" s="7"/>
      <c r="G24" s="205"/>
      <c r="H24" s="72"/>
      <c r="I24" s="238"/>
      <c r="J24" s="237"/>
      <c r="K24" s="237"/>
      <c r="L24" s="237"/>
      <c r="M24" s="237"/>
      <c r="N24" s="237"/>
      <c r="O24" s="246"/>
      <c r="P24" s="70"/>
      <c r="Q24" s="237"/>
      <c r="R24" s="242"/>
    </row>
    <row r="25" spans="1:18" ht="18.75" customHeight="1" thickBot="1">
      <c r="A25" s="522"/>
      <c r="B25" s="320">
        <f t="shared" ref="B25:G25" si="33">AVERAGE(B8:B13,B16:B21)</f>
        <v>3900.5</v>
      </c>
      <c r="C25" s="321">
        <f t="shared" si="33"/>
        <v>2025.25</v>
      </c>
      <c r="D25" s="321">
        <f t="shared" si="33"/>
        <v>1934.8333333333333</v>
      </c>
      <c r="E25" s="321">
        <f t="shared" si="33"/>
        <v>3483.5833333333335</v>
      </c>
      <c r="F25" s="321">
        <f t="shared" si="33"/>
        <v>1883.9166666666667</v>
      </c>
      <c r="G25" s="320">
        <f t="shared" si="33"/>
        <v>13228.083333333334</v>
      </c>
      <c r="H25" s="330">
        <f>G25/P25</f>
        <v>0.49042700767137004</v>
      </c>
      <c r="I25" s="323">
        <f t="shared" ref="I25:N25" si="34">AVERAGE(I8:I13,I16:I21)</f>
        <v>4096.166666666667</v>
      </c>
      <c r="J25" s="321">
        <f t="shared" si="34"/>
        <v>1920</v>
      </c>
      <c r="K25" s="321">
        <f t="shared" si="34"/>
        <v>2346.5</v>
      </c>
      <c r="L25" s="321">
        <f t="shared" si="34"/>
        <v>3417.0833333333335</v>
      </c>
      <c r="M25" s="321">
        <f t="shared" si="34"/>
        <v>1964.75</v>
      </c>
      <c r="N25" s="321">
        <f t="shared" si="34"/>
        <v>13744.5</v>
      </c>
      <c r="O25" s="322">
        <f>N25/P25</f>
        <v>0.50957299232863007</v>
      </c>
      <c r="P25" s="320">
        <f>AVERAGE(P8:P13,P16:P21)</f>
        <v>26972.583333333332</v>
      </c>
      <c r="Q25" s="321">
        <f>AVERAGE(Q8:Q13,Q16:Q21)</f>
        <v>31828.666666666668</v>
      </c>
      <c r="R25" s="326">
        <f>P25/Q25-1</f>
        <v>-0.15256948662631176</v>
      </c>
    </row>
    <row r="26" spans="1:18">
      <c r="A26" s="8"/>
      <c r="B26" s="8"/>
      <c r="C26" s="8"/>
      <c r="D26" s="8"/>
      <c r="E26" s="8"/>
      <c r="F26" s="8"/>
      <c r="G26" s="8"/>
      <c r="H26" s="8"/>
      <c r="I26" s="8"/>
      <c r="J26" s="8"/>
      <c r="K26" s="8"/>
      <c r="L26" s="8"/>
      <c r="M26" s="8"/>
      <c r="N26" s="8"/>
      <c r="O26" s="8"/>
      <c r="P26" s="8"/>
      <c r="Q26" s="8"/>
      <c r="R26" s="8"/>
    </row>
    <row r="27" spans="1:18">
      <c r="A27" s="41"/>
      <c r="B27" s="2"/>
      <c r="C27" s="2"/>
      <c r="D27" s="1"/>
      <c r="E27" s="1"/>
      <c r="F27" s="1"/>
      <c r="G27" s="1"/>
      <c r="H27" s="1"/>
      <c r="I27" s="1"/>
      <c r="J27" s="1"/>
      <c r="K27" s="1"/>
      <c r="L27" s="1"/>
      <c r="M27" s="1"/>
      <c r="N27" s="50"/>
      <c r="O27" s="1"/>
      <c r="P27" s="1"/>
      <c r="Q27" s="1"/>
      <c r="R27" s="1"/>
    </row>
    <row r="28" spans="1:18">
      <c r="A28" s="1"/>
      <c r="B28" s="5"/>
      <c r="C28" s="3"/>
      <c r="D28" s="2"/>
      <c r="E28" s="2"/>
      <c r="F28" s="1"/>
      <c r="G28" s="1"/>
      <c r="H28" s="1"/>
      <c r="I28" s="1"/>
      <c r="J28" s="1"/>
      <c r="K28" s="1"/>
      <c r="L28" s="4"/>
      <c r="M28" s="4"/>
      <c r="N28" s="50" t="s">
        <v>35</v>
      </c>
      <c r="O28" s="102"/>
      <c r="P28" s="102"/>
      <c r="Q28" s="102"/>
      <c r="R28" s="50"/>
    </row>
    <row r="29" spans="1:18">
      <c r="A29" s="82">
        <v>42054</v>
      </c>
      <c r="B29" s="4"/>
      <c r="C29" s="4"/>
      <c r="D29" s="1"/>
      <c r="E29" s="1"/>
      <c r="F29" s="1"/>
      <c r="G29" s="1"/>
      <c r="H29" s="1"/>
      <c r="I29" s="1"/>
      <c r="J29" s="1"/>
      <c r="K29" s="1"/>
      <c r="L29" s="1"/>
      <c r="M29" s="1"/>
      <c r="N29" s="50" t="s">
        <v>14</v>
      </c>
      <c r="O29" s="102"/>
      <c r="P29" s="102"/>
      <c r="Q29" s="102"/>
      <c r="R29" s="50"/>
    </row>
    <row r="30" spans="1:18">
      <c r="A30" s="1"/>
      <c r="B30" s="1"/>
      <c r="C30" s="1"/>
      <c r="D30" s="1"/>
      <c r="E30" s="1"/>
      <c r="F30" s="1"/>
      <c r="G30" s="1"/>
      <c r="H30" s="1"/>
      <c r="I30" s="1"/>
      <c r="J30" s="1"/>
      <c r="K30" s="1"/>
      <c r="L30" s="1"/>
      <c r="M30" s="1"/>
      <c r="N30" s="1"/>
      <c r="O30" s="1"/>
      <c r="P30" s="1"/>
      <c r="Q30" s="1"/>
      <c r="R30" s="1"/>
    </row>
    <row r="31" spans="1:18">
      <c r="N31" s="1"/>
      <c r="O31" s="1"/>
      <c r="P31" s="1"/>
      <c r="Q31" s="1"/>
      <c r="R31" s="1"/>
    </row>
  </sheetData>
  <mergeCells count="6">
    <mergeCell ref="A24:A25"/>
    <mergeCell ref="B5:H5"/>
    <mergeCell ref="I5:O5"/>
    <mergeCell ref="P1:R1"/>
    <mergeCell ref="A14:A15"/>
    <mergeCell ref="A22:A23"/>
  </mergeCells>
  <phoneticPr fontId="0" type="noConversion"/>
  <pageMargins left="0" right="0"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6" workbookViewId="0">
      <selection activeCell="C8" sqref="C8:F30"/>
    </sheetView>
  </sheetViews>
  <sheetFormatPr defaultRowHeight="12.75"/>
  <cols>
    <col min="1" max="1" width="4.85546875" customWidth="1"/>
    <col min="2" max="2" width="59.140625" customWidth="1"/>
    <col min="3" max="3" width="12.85546875" customWidth="1"/>
    <col min="4" max="4" width="12.7109375" customWidth="1"/>
    <col min="5" max="5" width="12.42578125" customWidth="1"/>
    <col min="6" max="6" width="11.42578125" customWidth="1"/>
    <col min="7" max="7" width="11.28515625" bestFit="1" customWidth="1"/>
  </cols>
  <sheetData>
    <row r="1" spans="1:8">
      <c r="A1" s="426" t="s">
        <v>117</v>
      </c>
    </row>
    <row r="2" spans="1:8" ht="6.75" customHeight="1">
      <c r="A2" s="97"/>
    </row>
    <row r="3" spans="1:8" ht="27.75" customHeight="1">
      <c r="A3" s="598" t="s">
        <v>136</v>
      </c>
      <c r="B3" s="598"/>
      <c r="C3" s="598"/>
      <c r="D3" s="598"/>
      <c r="E3" s="598"/>
      <c r="F3" s="598"/>
      <c r="G3" s="598"/>
      <c r="H3" s="598"/>
    </row>
    <row r="4" spans="1:8" ht="12" customHeight="1" thickBot="1">
      <c r="A4" s="568"/>
      <c r="B4" s="568"/>
      <c r="C4" s="568"/>
      <c r="D4" s="568"/>
    </row>
    <row r="5" spans="1:8">
      <c r="A5" s="451"/>
      <c r="B5" s="440"/>
      <c r="C5" s="584" t="s">
        <v>66</v>
      </c>
      <c r="D5" s="585"/>
      <c r="E5" s="585"/>
      <c r="F5" s="585"/>
      <c r="G5" s="585"/>
      <c r="H5" s="601"/>
    </row>
    <row r="6" spans="1:8">
      <c r="A6" s="452" t="s">
        <v>67</v>
      </c>
      <c r="B6" s="441" t="s">
        <v>68</v>
      </c>
      <c r="C6" s="576" t="s">
        <v>69</v>
      </c>
      <c r="D6" s="587"/>
      <c r="E6" s="588" t="s">
        <v>70</v>
      </c>
      <c r="F6" s="588"/>
      <c r="G6" s="602" t="s">
        <v>6</v>
      </c>
      <c r="H6" s="599" t="s">
        <v>123</v>
      </c>
    </row>
    <row r="7" spans="1:8" ht="24.75" customHeight="1" thickBot="1">
      <c r="A7" s="442"/>
      <c r="B7" s="442"/>
      <c r="C7" s="465" t="s">
        <v>71</v>
      </c>
      <c r="D7" s="350" t="s">
        <v>72</v>
      </c>
      <c r="E7" s="350" t="s">
        <v>72</v>
      </c>
      <c r="F7" s="350" t="s">
        <v>73</v>
      </c>
      <c r="G7" s="603"/>
      <c r="H7" s="600"/>
    </row>
    <row r="8" spans="1:8" ht="15" customHeight="1">
      <c r="A8" s="454">
        <v>1</v>
      </c>
      <c r="B8" s="443" t="s">
        <v>74</v>
      </c>
      <c r="C8" s="434">
        <v>0</v>
      </c>
      <c r="D8" s="268">
        <v>1</v>
      </c>
      <c r="E8" s="294">
        <v>0</v>
      </c>
      <c r="F8" s="294">
        <v>125</v>
      </c>
      <c r="G8" s="210">
        <f>SUM(C8+D8+E8+F8)</f>
        <v>126</v>
      </c>
      <c r="H8" s="505">
        <f>G8/G31</f>
        <v>4.4652349564108015E-3</v>
      </c>
    </row>
    <row r="9" spans="1:8" ht="15" customHeight="1">
      <c r="A9" s="455">
        <v>2</v>
      </c>
      <c r="B9" s="444" t="s">
        <v>75</v>
      </c>
      <c r="C9" s="435">
        <v>0</v>
      </c>
      <c r="D9" s="208">
        <v>0</v>
      </c>
      <c r="E9" s="209">
        <v>0</v>
      </c>
      <c r="F9" s="209">
        <v>51</v>
      </c>
      <c r="G9" s="210">
        <f t="shared" ref="G9:G30" si="0">SUM(C9+D9+E9+F9)</f>
        <v>51</v>
      </c>
      <c r="H9" s="506">
        <f>G9/G31</f>
        <v>1.8073570061662768E-3</v>
      </c>
    </row>
    <row r="10" spans="1:8" ht="15" customHeight="1">
      <c r="A10" s="455">
        <v>3</v>
      </c>
      <c r="B10" s="444" t="s">
        <v>76</v>
      </c>
      <c r="C10" s="435">
        <v>15</v>
      </c>
      <c r="D10" s="208">
        <v>0</v>
      </c>
      <c r="E10" s="209">
        <v>0</v>
      </c>
      <c r="F10" s="209">
        <f>2428+2</f>
        <v>2430</v>
      </c>
      <c r="G10" s="210">
        <f t="shared" si="0"/>
        <v>2445</v>
      </c>
      <c r="H10" s="506">
        <f>G10/G31</f>
        <v>8.6646821177971511E-2</v>
      </c>
    </row>
    <row r="11" spans="1:8" ht="15" customHeight="1">
      <c r="A11" s="455">
        <v>4</v>
      </c>
      <c r="B11" s="444" t="s">
        <v>77</v>
      </c>
      <c r="C11" s="436">
        <v>0</v>
      </c>
      <c r="D11" s="211">
        <v>0</v>
      </c>
      <c r="E11" s="212">
        <v>0</v>
      </c>
      <c r="F11" s="193">
        <v>51</v>
      </c>
      <c r="G11" s="210">
        <f t="shared" si="0"/>
        <v>51</v>
      </c>
      <c r="H11" s="506">
        <f>G11/G31</f>
        <v>1.8073570061662768E-3</v>
      </c>
    </row>
    <row r="12" spans="1:8" ht="26.25" customHeight="1">
      <c r="A12" s="455">
        <v>5</v>
      </c>
      <c r="B12" s="444" t="s">
        <v>78</v>
      </c>
      <c r="C12" s="435">
        <v>0</v>
      </c>
      <c r="D12" s="208">
        <v>0</v>
      </c>
      <c r="E12" s="209">
        <v>0</v>
      </c>
      <c r="F12" s="209">
        <v>11</v>
      </c>
      <c r="G12" s="210">
        <f t="shared" si="0"/>
        <v>11</v>
      </c>
      <c r="H12" s="506">
        <f>G12/G31</f>
        <v>3.8982209936919696E-4</v>
      </c>
    </row>
    <row r="13" spans="1:8" ht="15" customHeight="1">
      <c r="A13" s="455">
        <v>6</v>
      </c>
      <c r="B13" s="444" t="s">
        <v>79</v>
      </c>
      <c r="C13" s="466">
        <v>0</v>
      </c>
      <c r="D13" s="268">
        <v>2</v>
      </c>
      <c r="E13" s="194">
        <v>24</v>
      </c>
      <c r="F13" s="194">
        <f>3429+1</f>
        <v>3430</v>
      </c>
      <c r="G13" s="210">
        <f t="shared" si="0"/>
        <v>3456</v>
      </c>
      <c r="H13" s="506">
        <f>G13/G31</f>
        <v>0.1224750159472677</v>
      </c>
    </row>
    <row r="14" spans="1:8" ht="24.75" customHeight="1">
      <c r="A14" s="455">
        <v>7</v>
      </c>
      <c r="B14" s="444" t="s">
        <v>80</v>
      </c>
      <c r="C14" s="436">
        <v>0</v>
      </c>
      <c r="D14" s="208">
        <v>2</v>
      </c>
      <c r="E14" s="193">
        <v>23</v>
      </c>
      <c r="F14" s="193">
        <f>4626+2</f>
        <v>4628</v>
      </c>
      <c r="G14" s="210">
        <f t="shared" si="0"/>
        <v>4653</v>
      </c>
      <c r="H14" s="506">
        <f>G14/G31</f>
        <v>0.16489474803317031</v>
      </c>
    </row>
    <row r="15" spans="1:8" ht="15" customHeight="1">
      <c r="A15" s="455">
        <v>8</v>
      </c>
      <c r="B15" s="444" t="s">
        <v>81</v>
      </c>
      <c r="C15" s="436">
        <v>0</v>
      </c>
      <c r="D15" s="208">
        <v>3</v>
      </c>
      <c r="E15" s="189">
        <v>3</v>
      </c>
      <c r="F15" s="193">
        <f>1116+1</f>
        <v>1117</v>
      </c>
      <c r="G15" s="210">
        <f t="shared" si="0"/>
        <v>1123</v>
      </c>
      <c r="H15" s="506">
        <f>G15/G31</f>
        <v>3.9797292508328017E-2</v>
      </c>
    </row>
    <row r="16" spans="1:8" ht="25.5" customHeight="1">
      <c r="A16" s="455">
        <v>9</v>
      </c>
      <c r="B16" s="444" t="s">
        <v>82</v>
      </c>
      <c r="C16" s="435">
        <v>0</v>
      </c>
      <c r="D16" s="208">
        <v>34</v>
      </c>
      <c r="E16" s="209">
        <v>3095</v>
      </c>
      <c r="F16" s="209">
        <f>2602+4</f>
        <v>2606</v>
      </c>
      <c r="G16" s="210">
        <f t="shared" si="0"/>
        <v>5735</v>
      </c>
      <c r="H16" s="506">
        <f>G16/G31</f>
        <v>0.20323906726203134</v>
      </c>
    </row>
    <row r="17" spans="1:8" ht="15" customHeight="1">
      <c r="A17" s="455">
        <v>10</v>
      </c>
      <c r="B17" s="444" t="s">
        <v>83</v>
      </c>
      <c r="C17" s="435">
        <v>0</v>
      </c>
      <c r="D17" s="208">
        <v>0</v>
      </c>
      <c r="E17" s="209">
        <v>2</v>
      </c>
      <c r="F17" s="209">
        <f>368+1</f>
        <v>369</v>
      </c>
      <c r="G17" s="210">
        <f t="shared" si="0"/>
        <v>371</v>
      </c>
      <c r="H17" s="506">
        <f>G17/G31</f>
        <v>1.3147636260542916E-2</v>
      </c>
    </row>
    <row r="18" spans="1:8" ht="15" customHeight="1">
      <c r="A18" s="455">
        <v>11</v>
      </c>
      <c r="B18" s="444" t="s">
        <v>84</v>
      </c>
      <c r="C18" s="435">
        <v>0</v>
      </c>
      <c r="D18" s="208">
        <v>0</v>
      </c>
      <c r="E18" s="209">
        <v>0</v>
      </c>
      <c r="F18" s="193">
        <v>1710</v>
      </c>
      <c r="G18" s="210">
        <f t="shared" si="0"/>
        <v>1710</v>
      </c>
      <c r="H18" s="506">
        <f>G18/G31</f>
        <v>6.0599617265575167E-2</v>
      </c>
    </row>
    <row r="19" spans="1:8" ht="15" customHeight="1">
      <c r="A19" s="455">
        <v>12</v>
      </c>
      <c r="B19" s="444" t="s">
        <v>85</v>
      </c>
      <c r="C19" s="435">
        <v>0</v>
      </c>
      <c r="D19" s="208">
        <v>1</v>
      </c>
      <c r="E19" s="209">
        <v>8</v>
      </c>
      <c r="F19" s="209">
        <v>128</v>
      </c>
      <c r="G19" s="210">
        <f t="shared" si="0"/>
        <v>137</v>
      </c>
      <c r="H19" s="506">
        <f>G19/G31</f>
        <v>4.855057055779999E-3</v>
      </c>
    </row>
    <row r="20" spans="1:8" ht="15" customHeight="1">
      <c r="A20" s="455">
        <v>13</v>
      </c>
      <c r="B20" s="444" t="s">
        <v>86</v>
      </c>
      <c r="C20" s="435">
        <v>0</v>
      </c>
      <c r="D20" s="208">
        <v>0</v>
      </c>
      <c r="E20" s="209">
        <v>0</v>
      </c>
      <c r="F20" s="209">
        <v>958</v>
      </c>
      <c r="G20" s="210">
        <f t="shared" si="0"/>
        <v>958</v>
      </c>
      <c r="H20" s="506">
        <f>G20/G31</f>
        <v>3.3949961017790062E-2</v>
      </c>
    </row>
    <row r="21" spans="1:8" ht="15" customHeight="1">
      <c r="A21" s="455">
        <v>14</v>
      </c>
      <c r="B21" s="444" t="s">
        <v>87</v>
      </c>
      <c r="C21" s="435">
        <v>0</v>
      </c>
      <c r="D21" s="208">
        <v>0</v>
      </c>
      <c r="E21" s="209">
        <v>6</v>
      </c>
      <c r="F21" s="209">
        <f>578+1</f>
        <v>579</v>
      </c>
      <c r="G21" s="210">
        <f t="shared" si="0"/>
        <v>585</v>
      </c>
      <c r="H21" s="506">
        <f>G21/G31</f>
        <v>2.0731448011907294E-2</v>
      </c>
    </row>
    <row r="22" spans="1:8" ht="15" customHeight="1">
      <c r="A22" s="456">
        <v>15</v>
      </c>
      <c r="B22" s="444" t="s">
        <v>88</v>
      </c>
      <c r="C22" s="435">
        <v>0</v>
      </c>
      <c r="D22" s="208">
        <v>0</v>
      </c>
      <c r="E22" s="209">
        <v>0</v>
      </c>
      <c r="F22" s="209">
        <v>2773</v>
      </c>
      <c r="G22" s="210">
        <f t="shared" si="0"/>
        <v>2773</v>
      </c>
      <c r="H22" s="506">
        <f>G22/G31</f>
        <v>9.8270607413707564E-2</v>
      </c>
    </row>
    <row r="23" spans="1:8" ht="15" customHeight="1">
      <c r="A23" s="455">
        <v>16</v>
      </c>
      <c r="B23" s="444" t="s">
        <v>89</v>
      </c>
      <c r="C23" s="435">
        <v>0</v>
      </c>
      <c r="D23" s="208">
        <v>0</v>
      </c>
      <c r="E23" s="209">
        <v>0</v>
      </c>
      <c r="F23" s="209">
        <v>416</v>
      </c>
      <c r="G23" s="210">
        <f t="shared" si="0"/>
        <v>416</v>
      </c>
      <c r="H23" s="506">
        <f>G23/G31</f>
        <v>1.4742363030689631E-2</v>
      </c>
    </row>
    <row r="24" spans="1:8" ht="26.25" customHeight="1">
      <c r="A24" s="456">
        <v>17</v>
      </c>
      <c r="B24" s="444" t="s">
        <v>90</v>
      </c>
      <c r="C24" s="435">
        <v>0</v>
      </c>
      <c r="D24" s="208">
        <v>0</v>
      </c>
      <c r="E24" s="209">
        <v>1</v>
      </c>
      <c r="F24" s="209">
        <v>334</v>
      </c>
      <c r="G24" s="210">
        <f t="shared" si="0"/>
        <v>335</v>
      </c>
      <c r="H24" s="506">
        <f>G24/G31</f>
        <v>1.1871854844425545E-2</v>
      </c>
    </row>
    <row r="25" spans="1:8" ht="15" customHeight="1">
      <c r="A25" s="455">
        <v>18</v>
      </c>
      <c r="B25" s="445" t="s">
        <v>91</v>
      </c>
      <c r="C25" s="435">
        <v>0</v>
      </c>
      <c r="D25" s="208">
        <v>1</v>
      </c>
      <c r="E25" s="209">
        <v>5</v>
      </c>
      <c r="F25" s="209">
        <v>316</v>
      </c>
      <c r="G25" s="210">
        <f t="shared" si="0"/>
        <v>322</v>
      </c>
      <c r="H25" s="506">
        <f>G25/G31</f>
        <v>1.1411155999716493E-2</v>
      </c>
    </row>
    <row r="26" spans="1:8" ht="15" customHeight="1">
      <c r="A26" s="455">
        <v>19</v>
      </c>
      <c r="B26" s="445" t="s">
        <v>92</v>
      </c>
      <c r="C26" s="435">
        <v>0</v>
      </c>
      <c r="D26" s="208">
        <v>0</v>
      </c>
      <c r="E26" s="209">
        <v>8</v>
      </c>
      <c r="F26" s="209">
        <v>467</v>
      </c>
      <c r="G26" s="210">
        <f t="shared" si="0"/>
        <v>475</v>
      </c>
      <c r="H26" s="506">
        <f>G26/G31</f>
        <v>1.6833227018215324E-2</v>
      </c>
    </row>
    <row r="27" spans="1:8" ht="37.5" customHeight="1">
      <c r="A27" s="456">
        <v>20</v>
      </c>
      <c r="B27" s="445" t="s">
        <v>93</v>
      </c>
      <c r="C27" s="435">
        <v>0</v>
      </c>
      <c r="D27" s="208">
        <v>0</v>
      </c>
      <c r="E27" s="209">
        <v>0</v>
      </c>
      <c r="F27" s="209">
        <v>32</v>
      </c>
      <c r="G27" s="210">
        <f t="shared" si="0"/>
        <v>32</v>
      </c>
      <c r="H27" s="506">
        <f>G27/G31</f>
        <v>1.1340279254376639E-3</v>
      </c>
    </row>
    <row r="28" spans="1:8" ht="15" customHeight="1">
      <c r="A28" s="455">
        <v>21</v>
      </c>
      <c r="B28" s="445" t="s">
        <v>94</v>
      </c>
      <c r="C28" s="435">
        <v>0</v>
      </c>
      <c r="D28" s="208">
        <v>0</v>
      </c>
      <c r="E28" s="209">
        <v>0</v>
      </c>
      <c r="F28" s="209">
        <v>14</v>
      </c>
      <c r="G28" s="210">
        <f t="shared" si="0"/>
        <v>14</v>
      </c>
      <c r="H28" s="506">
        <f>G28/G31</f>
        <v>4.96137217378978E-4</v>
      </c>
    </row>
    <row r="29" spans="1:8" ht="15" customHeight="1">
      <c r="A29" s="455">
        <v>22</v>
      </c>
      <c r="B29" s="446" t="s">
        <v>95</v>
      </c>
      <c r="C29" s="435">
        <v>0</v>
      </c>
      <c r="D29" s="208">
        <v>2</v>
      </c>
      <c r="E29" s="209">
        <v>12</v>
      </c>
      <c r="F29" s="209">
        <f>2407+8</f>
        <v>2415</v>
      </c>
      <c r="G29" s="210">
        <f t="shared" si="0"/>
        <v>2429</v>
      </c>
      <c r="H29" s="506">
        <f>G29/G31</f>
        <v>8.6079807215252671E-2</v>
      </c>
    </row>
    <row r="30" spans="1:8" ht="15" customHeight="1" thickBot="1">
      <c r="A30" s="455">
        <v>23</v>
      </c>
      <c r="B30" s="447" t="s">
        <v>96</v>
      </c>
      <c r="C30" s="437">
        <v>0</v>
      </c>
      <c r="D30" s="213">
        <v>0</v>
      </c>
      <c r="E30" s="214">
        <v>0</v>
      </c>
      <c r="F30" s="209">
        <v>10</v>
      </c>
      <c r="G30" s="210">
        <f t="shared" si="0"/>
        <v>10</v>
      </c>
      <c r="H30" s="508">
        <f>G30/G31</f>
        <v>3.5438372669926999E-4</v>
      </c>
    </row>
    <row r="31" spans="1:8" ht="15" customHeight="1" thickBot="1">
      <c r="A31" s="457"/>
      <c r="B31" s="439" t="s">
        <v>6</v>
      </c>
      <c r="C31" s="438">
        <f t="shared" ref="C31:H31" si="1">SUM(C8:C30)</f>
        <v>15</v>
      </c>
      <c r="D31" s="215">
        <f t="shared" si="1"/>
        <v>46</v>
      </c>
      <c r="E31" s="215">
        <f t="shared" si="1"/>
        <v>3187</v>
      </c>
      <c r="F31" s="215">
        <f t="shared" si="1"/>
        <v>24970</v>
      </c>
      <c r="G31" s="216">
        <f t="shared" si="1"/>
        <v>28218</v>
      </c>
      <c r="H31" s="471">
        <f t="shared" si="1"/>
        <v>1</v>
      </c>
    </row>
    <row r="32" spans="1:8">
      <c r="B32" s="110"/>
      <c r="F32" s="284"/>
      <c r="G32" s="285"/>
      <c r="H32" s="26"/>
    </row>
    <row r="33" spans="1:9">
      <c r="A33" s="81" t="s">
        <v>133</v>
      </c>
      <c r="B33" s="81"/>
      <c r="C33" s="81"/>
      <c r="D33" s="81"/>
      <c r="E33" s="81"/>
      <c r="F33" s="233" t="s">
        <v>15</v>
      </c>
      <c r="G33" s="81"/>
      <c r="H33" s="284"/>
      <c r="I33" s="26"/>
    </row>
    <row r="34" spans="1:9">
      <c r="A34" s="286"/>
      <c r="B34" s="82">
        <v>41815</v>
      </c>
      <c r="C34" s="507"/>
      <c r="D34" s="286"/>
      <c r="E34" s="81"/>
      <c r="F34" s="233" t="s">
        <v>97</v>
      </c>
      <c r="G34" s="81"/>
      <c r="H34" s="284"/>
      <c r="I34" s="26"/>
    </row>
    <row r="35" spans="1:9">
      <c r="H35" s="26"/>
    </row>
    <row r="36" spans="1:9">
      <c r="H36" s="26"/>
    </row>
  </sheetData>
  <mergeCells count="7">
    <mergeCell ref="A3:H3"/>
    <mergeCell ref="H6:H7"/>
    <mergeCell ref="C5:H5"/>
    <mergeCell ref="A4:D4"/>
    <mergeCell ref="C6:D6"/>
    <mergeCell ref="E6:F6"/>
    <mergeCell ref="G6:G7"/>
  </mergeCells>
  <pageMargins left="0.70866141732283472" right="0.70866141732283472" top="0.35433070866141736" bottom="0.1574803149606299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I34"/>
  <sheetViews>
    <sheetView workbookViewId="0">
      <selection activeCell="F10" sqref="F10"/>
    </sheetView>
  </sheetViews>
  <sheetFormatPr defaultRowHeight="12.75"/>
  <cols>
    <col min="1" max="1" width="5.42578125" customWidth="1"/>
    <col min="2" max="2" width="58" customWidth="1"/>
    <col min="3" max="3" width="12.85546875" bestFit="1" customWidth="1"/>
    <col min="4" max="6" width="12.7109375" customWidth="1"/>
    <col min="7" max="7" width="11" customWidth="1"/>
    <col min="8" max="8" width="13.28515625" customWidth="1"/>
  </cols>
  <sheetData>
    <row r="1" spans="1:8">
      <c r="A1" s="467" t="s">
        <v>118</v>
      </c>
    </row>
    <row r="2" spans="1:8">
      <c r="A2" s="97"/>
    </row>
    <row r="3" spans="1:8" ht="31.5" customHeight="1">
      <c r="A3" s="598" t="s">
        <v>137</v>
      </c>
      <c r="B3" s="598"/>
      <c r="C3" s="598"/>
      <c r="D3" s="598"/>
      <c r="E3" s="598"/>
      <c r="F3" s="598"/>
      <c r="G3" s="598"/>
    </row>
    <row r="4" spans="1:8" ht="9.75" customHeight="1" thickBot="1">
      <c r="A4" s="568"/>
      <c r="B4" s="568"/>
      <c r="C4" s="568"/>
      <c r="D4" s="568"/>
    </row>
    <row r="5" spans="1:8" ht="11.25" customHeight="1">
      <c r="A5" s="451"/>
      <c r="B5" s="440"/>
      <c r="C5" s="572" t="s">
        <v>66</v>
      </c>
      <c r="D5" s="572"/>
      <c r="E5" s="572"/>
      <c r="F5" s="572"/>
      <c r="G5" s="572"/>
      <c r="H5" s="573"/>
    </row>
    <row r="6" spans="1:8" ht="15" customHeight="1">
      <c r="A6" s="452" t="s">
        <v>67</v>
      </c>
      <c r="B6" s="441" t="s">
        <v>68</v>
      </c>
      <c r="C6" s="575" t="s">
        <v>69</v>
      </c>
      <c r="D6" s="576"/>
      <c r="E6" s="577" t="s">
        <v>70</v>
      </c>
      <c r="F6" s="578"/>
      <c r="G6" s="579" t="s">
        <v>6</v>
      </c>
      <c r="H6" s="604" t="s">
        <v>123</v>
      </c>
    </row>
    <row r="7" spans="1:8" ht="23.25" customHeight="1" thickBot="1">
      <c r="A7" s="448"/>
      <c r="B7" s="442"/>
      <c r="C7" s="430" t="s">
        <v>71</v>
      </c>
      <c r="D7" s="431" t="s">
        <v>72</v>
      </c>
      <c r="E7" s="431" t="s">
        <v>72</v>
      </c>
      <c r="F7" s="350" t="s">
        <v>73</v>
      </c>
      <c r="G7" s="580"/>
      <c r="H7" s="605"/>
    </row>
    <row r="8" spans="1:8" ht="18.75" customHeight="1">
      <c r="A8" s="455">
        <v>1</v>
      </c>
      <c r="B8" s="443" t="s">
        <v>74</v>
      </c>
      <c r="C8" s="434">
        <v>0</v>
      </c>
      <c r="D8" s="268">
        <v>1</v>
      </c>
      <c r="E8" s="294">
        <v>0</v>
      </c>
      <c r="F8" s="294">
        <v>113</v>
      </c>
      <c r="G8" s="210">
        <f>SUM(C8+D8+E8+F8)</f>
        <v>114</v>
      </c>
      <c r="H8" s="464">
        <f>G8/G31</f>
        <v>4.8853653310477821E-3</v>
      </c>
    </row>
    <row r="9" spans="1:8" ht="15" customHeight="1">
      <c r="A9" s="455">
        <v>2</v>
      </c>
      <c r="B9" s="444" t="s">
        <v>75</v>
      </c>
      <c r="C9" s="435">
        <v>0</v>
      </c>
      <c r="D9" s="208">
        <v>0</v>
      </c>
      <c r="E9" s="209">
        <v>0</v>
      </c>
      <c r="F9" s="209">
        <v>54</v>
      </c>
      <c r="G9" s="283">
        <f>SUM(C9+D9+E9+F9)</f>
        <v>54</v>
      </c>
      <c r="H9" s="355">
        <f>G9/G31</f>
        <v>2.3141204199700022E-3</v>
      </c>
    </row>
    <row r="10" spans="1:8" ht="15" customHeight="1">
      <c r="A10" s="455">
        <v>3</v>
      </c>
      <c r="B10" s="444" t="s">
        <v>76</v>
      </c>
      <c r="C10" s="435">
        <v>21</v>
      </c>
      <c r="D10" s="208">
        <v>0</v>
      </c>
      <c r="E10" s="209">
        <v>0</v>
      </c>
      <c r="F10" s="209">
        <f>2211+2</f>
        <v>2213</v>
      </c>
      <c r="G10" s="283">
        <f t="shared" ref="G10:G30" si="0">SUM(C10+D10+E10+F10)</f>
        <v>2234</v>
      </c>
      <c r="H10" s="355">
        <f>G10/G31</f>
        <v>9.573601885579601E-2</v>
      </c>
    </row>
    <row r="11" spans="1:8" ht="15" customHeight="1">
      <c r="A11" s="455">
        <v>4</v>
      </c>
      <c r="B11" s="444" t="s">
        <v>77</v>
      </c>
      <c r="C11" s="436">
        <v>0</v>
      </c>
      <c r="D11" s="211">
        <v>0</v>
      </c>
      <c r="E11" s="212">
        <v>0</v>
      </c>
      <c r="F11" s="193">
        <v>52</v>
      </c>
      <c r="G11" s="79">
        <f t="shared" si="0"/>
        <v>52</v>
      </c>
      <c r="H11" s="355">
        <f>G11/G31</f>
        <v>2.2284122562674096E-3</v>
      </c>
    </row>
    <row r="12" spans="1:8" ht="24.75" customHeight="1">
      <c r="A12" s="455">
        <v>5</v>
      </c>
      <c r="B12" s="444" t="s">
        <v>78</v>
      </c>
      <c r="C12" s="435">
        <v>0</v>
      </c>
      <c r="D12" s="208">
        <v>0</v>
      </c>
      <c r="E12" s="209">
        <v>0</v>
      </c>
      <c r="F12" s="209">
        <v>10</v>
      </c>
      <c r="G12" s="79">
        <f t="shared" si="0"/>
        <v>10</v>
      </c>
      <c r="H12" s="355">
        <f>G12/G31</f>
        <v>4.2854081851296334E-4</v>
      </c>
    </row>
    <row r="13" spans="1:8" ht="15" customHeight="1">
      <c r="A13" s="455">
        <v>6</v>
      </c>
      <c r="B13" s="444" t="s">
        <v>79</v>
      </c>
      <c r="C13" s="436">
        <v>0</v>
      </c>
      <c r="D13" s="208">
        <v>2</v>
      </c>
      <c r="E13" s="193">
        <v>16</v>
      </c>
      <c r="F13" s="193">
        <v>3232</v>
      </c>
      <c r="G13" s="79">
        <f t="shared" si="0"/>
        <v>3250</v>
      </c>
      <c r="H13" s="355">
        <f>G13/G31</f>
        <v>0.1392757660167131</v>
      </c>
    </row>
    <row r="14" spans="1:8" ht="26.25" customHeight="1">
      <c r="A14" s="455">
        <v>7</v>
      </c>
      <c r="B14" s="444" t="s">
        <v>80</v>
      </c>
      <c r="C14" s="436">
        <v>0</v>
      </c>
      <c r="D14" s="208">
        <v>12</v>
      </c>
      <c r="E14" s="193">
        <v>11</v>
      </c>
      <c r="F14" s="193">
        <f>4173+2</f>
        <v>4175</v>
      </c>
      <c r="G14" s="79">
        <f t="shared" si="0"/>
        <v>4198</v>
      </c>
      <c r="H14" s="355">
        <f>G14/G31</f>
        <v>0.17990143561174202</v>
      </c>
    </row>
    <row r="15" spans="1:8" ht="15" customHeight="1">
      <c r="A15" s="455">
        <v>8</v>
      </c>
      <c r="B15" s="444" t="s">
        <v>81</v>
      </c>
      <c r="C15" s="436">
        <v>0</v>
      </c>
      <c r="D15" s="208">
        <v>3</v>
      </c>
      <c r="E15" s="189">
        <v>2</v>
      </c>
      <c r="F15" s="193">
        <v>831</v>
      </c>
      <c r="G15" s="79">
        <f t="shared" si="0"/>
        <v>836</v>
      </c>
      <c r="H15" s="355">
        <f>G15/G31</f>
        <v>3.582601242768374E-2</v>
      </c>
    </row>
    <row r="16" spans="1:8" ht="15" customHeight="1">
      <c r="A16" s="455">
        <v>9</v>
      </c>
      <c r="B16" s="444" t="s">
        <v>82</v>
      </c>
      <c r="C16" s="435">
        <v>0</v>
      </c>
      <c r="D16" s="208">
        <v>3</v>
      </c>
      <c r="E16" s="209">
        <v>1043</v>
      </c>
      <c r="F16" s="209">
        <f>1652+3</f>
        <v>1655</v>
      </c>
      <c r="G16" s="79">
        <f t="shared" si="0"/>
        <v>2701</v>
      </c>
      <c r="H16" s="355">
        <f>G16/G31</f>
        <v>0.11574887508035141</v>
      </c>
    </row>
    <row r="17" spans="1:8" ht="15" customHeight="1">
      <c r="A17" s="455">
        <v>10</v>
      </c>
      <c r="B17" s="444" t="s">
        <v>83</v>
      </c>
      <c r="C17" s="435">
        <v>0</v>
      </c>
      <c r="D17" s="208">
        <v>0</v>
      </c>
      <c r="E17" s="209">
        <v>2</v>
      </c>
      <c r="F17" s="209">
        <f>362+1</f>
        <v>363</v>
      </c>
      <c r="G17" s="283">
        <f t="shared" si="0"/>
        <v>365</v>
      </c>
      <c r="H17" s="355">
        <f>G17/G31</f>
        <v>1.5641739875723162E-2</v>
      </c>
    </row>
    <row r="18" spans="1:8" ht="15" customHeight="1">
      <c r="A18" s="455">
        <v>11</v>
      </c>
      <c r="B18" s="444" t="s">
        <v>84</v>
      </c>
      <c r="C18" s="435">
        <v>0</v>
      </c>
      <c r="D18" s="208">
        <v>0</v>
      </c>
      <c r="E18" s="209">
        <v>0</v>
      </c>
      <c r="F18" s="193">
        <f>1738+1</f>
        <v>1739</v>
      </c>
      <c r="G18" s="79">
        <f t="shared" si="0"/>
        <v>1739</v>
      </c>
      <c r="H18" s="355">
        <f>G18/G31</f>
        <v>7.4523248339404324E-2</v>
      </c>
    </row>
    <row r="19" spans="1:8" ht="15" customHeight="1">
      <c r="A19" s="455">
        <v>12</v>
      </c>
      <c r="B19" s="444" t="s">
        <v>85</v>
      </c>
      <c r="C19" s="435">
        <v>0</v>
      </c>
      <c r="D19" s="208">
        <v>1</v>
      </c>
      <c r="E19" s="209">
        <v>5</v>
      </c>
      <c r="F19" s="209">
        <v>127</v>
      </c>
      <c r="G19" s="283">
        <f t="shared" si="0"/>
        <v>133</v>
      </c>
      <c r="H19" s="355">
        <f>G19/G31</f>
        <v>5.699592886222413E-3</v>
      </c>
    </row>
    <row r="20" spans="1:8" ht="15" customHeight="1">
      <c r="A20" s="455">
        <v>13</v>
      </c>
      <c r="B20" s="444" t="s">
        <v>86</v>
      </c>
      <c r="C20" s="435">
        <v>0</v>
      </c>
      <c r="D20" s="208">
        <v>0</v>
      </c>
      <c r="E20" s="209">
        <v>0</v>
      </c>
      <c r="F20" s="209">
        <f>918+1</f>
        <v>919</v>
      </c>
      <c r="G20" s="283">
        <f t="shared" si="0"/>
        <v>919</v>
      </c>
      <c r="H20" s="355">
        <f>G20/G31</f>
        <v>3.9382901221341332E-2</v>
      </c>
    </row>
    <row r="21" spans="1:8" ht="15" customHeight="1">
      <c r="A21" s="455">
        <v>14</v>
      </c>
      <c r="B21" s="444" t="s">
        <v>87</v>
      </c>
      <c r="C21" s="435">
        <v>0</v>
      </c>
      <c r="D21" s="208">
        <v>0</v>
      </c>
      <c r="E21" s="209">
        <v>2</v>
      </c>
      <c r="F21" s="209">
        <v>422</v>
      </c>
      <c r="G21" s="283">
        <f t="shared" si="0"/>
        <v>424</v>
      </c>
      <c r="H21" s="355">
        <f>G21/G31</f>
        <v>1.8170130704949647E-2</v>
      </c>
    </row>
    <row r="22" spans="1:8" ht="15" customHeight="1">
      <c r="A22" s="456">
        <v>15</v>
      </c>
      <c r="B22" s="444" t="s">
        <v>88</v>
      </c>
      <c r="C22" s="435">
        <v>0</v>
      </c>
      <c r="D22" s="208">
        <v>0</v>
      </c>
      <c r="E22" s="209">
        <v>0</v>
      </c>
      <c r="F22" s="209">
        <v>2419</v>
      </c>
      <c r="G22" s="283">
        <f t="shared" si="0"/>
        <v>2419</v>
      </c>
      <c r="H22" s="355">
        <f>G22/G31</f>
        <v>0.10366402399828584</v>
      </c>
    </row>
    <row r="23" spans="1:8" ht="15" customHeight="1">
      <c r="A23" s="455">
        <v>16</v>
      </c>
      <c r="B23" s="444" t="s">
        <v>89</v>
      </c>
      <c r="C23" s="435">
        <v>0</v>
      </c>
      <c r="D23" s="208">
        <v>0</v>
      </c>
      <c r="E23" s="209">
        <v>0</v>
      </c>
      <c r="F23" s="209">
        <v>492</v>
      </c>
      <c r="G23" s="79">
        <f t="shared" si="0"/>
        <v>492</v>
      </c>
      <c r="H23" s="355">
        <f>G23/G31</f>
        <v>2.1084208270837797E-2</v>
      </c>
    </row>
    <row r="24" spans="1:8" ht="24.75" customHeight="1">
      <c r="A24" s="456">
        <v>17</v>
      </c>
      <c r="B24" s="444" t="s">
        <v>90</v>
      </c>
      <c r="C24" s="435">
        <v>0</v>
      </c>
      <c r="D24" s="208">
        <v>0</v>
      </c>
      <c r="E24" s="209">
        <v>0</v>
      </c>
      <c r="F24" s="209">
        <v>296</v>
      </c>
      <c r="G24" s="283">
        <f t="shared" si="0"/>
        <v>296</v>
      </c>
      <c r="H24" s="355">
        <f>G24/G31</f>
        <v>1.2684808227983716E-2</v>
      </c>
    </row>
    <row r="25" spans="1:8" ht="15" customHeight="1">
      <c r="A25" s="455">
        <v>18</v>
      </c>
      <c r="B25" s="445" t="s">
        <v>91</v>
      </c>
      <c r="C25" s="435">
        <v>0</v>
      </c>
      <c r="D25" s="208">
        <v>0</v>
      </c>
      <c r="E25" s="209">
        <v>2</v>
      </c>
      <c r="F25" s="209">
        <v>257</v>
      </c>
      <c r="G25" s="283">
        <f t="shared" si="0"/>
        <v>259</v>
      </c>
      <c r="H25" s="355">
        <f>G25/G31</f>
        <v>1.1099207199485751E-2</v>
      </c>
    </row>
    <row r="26" spans="1:8" ht="15" customHeight="1">
      <c r="A26" s="455">
        <v>19</v>
      </c>
      <c r="B26" s="445" t="s">
        <v>92</v>
      </c>
      <c r="C26" s="435">
        <v>0</v>
      </c>
      <c r="D26" s="208">
        <v>0</v>
      </c>
      <c r="E26" s="209">
        <v>5</v>
      </c>
      <c r="F26" s="209">
        <v>394</v>
      </c>
      <c r="G26" s="283">
        <f t="shared" si="0"/>
        <v>399</v>
      </c>
      <c r="H26" s="355">
        <f>G26/G31</f>
        <v>1.7098778658667237E-2</v>
      </c>
    </row>
    <row r="27" spans="1:8" ht="38.25" customHeight="1">
      <c r="A27" s="456">
        <v>20</v>
      </c>
      <c r="B27" s="445" t="s">
        <v>93</v>
      </c>
      <c r="C27" s="435">
        <v>0</v>
      </c>
      <c r="D27" s="208">
        <v>0</v>
      </c>
      <c r="E27" s="209">
        <v>0</v>
      </c>
      <c r="F27" s="209">
        <v>34</v>
      </c>
      <c r="G27" s="283">
        <f t="shared" si="0"/>
        <v>34</v>
      </c>
      <c r="H27" s="355">
        <f>G27/G31</f>
        <v>1.4570387829440754E-3</v>
      </c>
    </row>
    <row r="28" spans="1:8" ht="15.75" customHeight="1">
      <c r="A28" s="455">
        <v>21</v>
      </c>
      <c r="B28" s="445" t="s">
        <v>94</v>
      </c>
      <c r="C28" s="435">
        <v>0</v>
      </c>
      <c r="D28" s="208">
        <v>0</v>
      </c>
      <c r="E28" s="209">
        <v>0</v>
      </c>
      <c r="F28" s="209">
        <v>12</v>
      </c>
      <c r="G28" s="283">
        <f t="shared" si="0"/>
        <v>12</v>
      </c>
      <c r="H28" s="355">
        <f>G28/G31</f>
        <v>5.1424898221555599E-4</v>
      </c>
    </row>
    <row r="29" spans="1:8">
      <c r="A29" s="455">
        <v>22</v>
      </c>
      <c r="B29" s="446" t="s">
        <v>95</v>
      </c>
      <c r="C29" s="435">
        <v>0</v>
      </c>
      <c r="D29" s="208">
        <v>3</v>
      </c>
      <c r="E29" s="209">
        <v>7</v>
      </c>
      <c r="F29" s="209">
        <f>2368+5</f>
        <v>2373</v>
      </c>
      <c r="G29" s="283">
        <f t="shared" si="0"/>
        <v>2383</v>
      </c>
      <c r="H29" s="355">
        <f>G29/G31</f>
        <v>0.10212127705163918</v>
      </c>
    </row>
    <row r="30" spans="1:8" ht="13.5" thickBot="1">
      <c r="A30" s="455">
        <v>23</v>
      </c>
      <c r="B30" s="447" t="s">
        <v>96</v>
      </c>
      <c r="C30" s="437">
        <v>0</v>
      </c>
      <c r="D30" s="213">
        <v>0</v>
      </c>
      <c r="E30" s="214">
        <v>0</v>
      </c>
      <c r="F30" s="209">
        <v>12</v>
      </c>
      <c r="G30" s="283">
        <f t="shared" si="0"/>
        <v>12</v>
      </c>
      <c r="H30" s="355">
        <f>G30/G31</f>
        <v>5.1424898221555599E-4</v>
      </c>
    </row>
    <row r="31" spans="1:8" ht="13.5" thickBot="1">
      <c r="A31" s="457"/>
      <c r="B31" s="439" t="s">
        <v>6</v>
      </c>
      <c r="C31" s="438">
        <f t="shared" ref="C31:H31" si="1">SUM(C8:C30)</f>
        <v>21</v>
      </c>
      <c r="D31" s="215">
        <f t="shared" si="1"/>
        <v>25</v>
      </c>
      <c r="E31" s="215">
        <f t="shared" si="1"/>
        <v>1095</v>
      </c>
      <c r="F31" s="215">
        <f t="shared" si="1"/>
        <v>22194</v>
      </c>
      <c r="G31" s="216">
        <f t="shared" si="1"/>
        <v>23335</v>
      </c>
      <c r="H31" s="463">
        <f t="shared" si="1"/>
        <v>1.0000000000000002</v>
      </c>
    </row>
    <row r="32" spans="1:8">
      <c r="B32" s="110"/>
      <c r="F32" s="284"/>
      <c r="G32" s="285"/>
    </row>
    <row r="33" spans="1:9">
      <c r="A33" s="81" t="s">
        <v>133</v>
      </c>
      <c r="B33" s="81"/>
      <c r="C33" s="81"/>
      <c r="D33" s="81"/>
      <c r="E33" s="81"/>
      <c r="F33" s="81"/>
      <c r="G33" s="233" t="s">
        <v>15</v>
      </c>
      <c r="H33" s="81"/>
      <c r="I33" s="284"/>
    </row>
    <row r="34" spans="1:9">
      <c r="A34" s="286"/>
      <c r="B34" s="82">
        <v>41841</v>
      </c>
      <c r="C34" s="509"/>
      <c r="D34" s="509"/>
      <c r="E34" s="286"/>
      <c r="F34" s="81"/>
      <c r="G34" s="233" t="s">
        <v>97</v>
      </c>
      <c r="H34" s="81"/>
      <c r="I34" s="284"/>
    </row>
  </sheetData>
  <mergeCells count="7">
    <mergeCell ref="H6:H7"/>
    <mergeCell ref="C5:H5"/>
    <mergeCell ref="A3:G3"/>
    <mergeCell ref="A4:D4"/>
    <mergeCell ref="C6:D6"/>
    <mergeCell ref="E6:F6"/>
    <mergeCell ref="G6:G7"/>
  </mergeCells>
  <pageMargins left="0" right="0" top="0.35433070866141736" bottom="0.1574803149606299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H33"/>
  <sheetViews>
    <sheetView workbookViewId="0">
      <selection activeCell="D11" sqref="D11"/>
    </sheetView>
  </sheetViews>
  <sheetFormatPr defaultRowHeight="12.75"/>
  <cols>
    <col min="1" max="1" width="5.42578125" customWidth="1"/>
    <col min="2" max="2" width="53.85546875" customWidth="1"/>
    <col min="3" max="3" width="12.28515625" customWidth="1"/>
    <col min="4" max="4" width="12.42578125" customWidth="1"/>
    <col min="5" max="7" width="12.7109375" customWidth="1"/>
    <col min="8" max="8" width="12" customWidth="1"/>
  </cols>
  <sheetData>
    <row r="1" spans="1:8">
      <c r="A1" s="426" t="s">
        <v>113</v>
      </c>
      <c r="B1" s="48"/>
    </row>
    <row r="2" spans="1:8" ht="28.5" customHeight="1">
      <c r="A2" s="569" t="s">
        <v>138</v>
      </c>
      <c r="B2" s="569"/>
      <c r="C2" s="569"/>
      <c r="D2" s="569"/>
      <c r="E2" s="569"/>
      <c r="F2" s="569"/>
      <c r="G2" s="569"/>
    </row>
    <row r="3" spans="1:8" ht="1.5" customHeight="1" thickBot="1">
      <c r="A3" s="568"/>
      <c r="B3" s="568"/>
      <c r="C3" s="568"/>
    </row>
    <row r="4" spans="1:8" ht="16.5" customHeight="1">
      <c r="A4" s="451"/>
      <c r="B4" s="440"/>
      <c r="C4" s="584" t="s">
        <v>66</v>
      </c>
      <c r="D4" s="585"/>
      <c r="E4" s="585"/>
      <c r="F4" s="585"/>
      <c r="G4" s="585"/>
      <c r="H4" s="601"/>
    </row>
    <row r="5" spans="1:8" ht="16.5" customHeight="1">
      <c r="A5" s="452" t="s">
        <v>67</v>
      </c>
      <c r="B5" s="441" t="s">
        <v>68</v>
      </c>
      <c r="C5" s="576" t="s">
        <v>69</v>
      </c>
      <c r="D5" s="587"/>
      <c r="E5" s="588" t="s">
        <v>70</v>
      </c>
      <c r="F5" s="588"/>
      <c r="G5" s="609" t="s">
        <v>6</v>
      </c>
      <c r="H5" s="606" t="s">
        <v>123</v>
      </c>
    </row>
    <row r="6" spans="1:8" ht="24.75" customHeight="1" thickBot="1">
      <c r="A6" s="442"/>
      <c r="B6" s="442"/>
      <c r="C6" s="465" t="s">
        <v>71</v>
      </c>
      <c r="D6" s="350" t="s">
        <v>72</v>
      </c>
      <c r="E6" s="350" t="s">
        <v>72</v>
      </c>
      <c r="F6" s="350" t="s">
        <v>73</v>
      </c>
      <c r="G6" s="610"/>
      <c r="H6" s="607"/>
    </row>
    <row r="7" spans="1:8" ht="15" customHeight="1">
      <c r="A7" s="454">
        <v>1</v>
      </c>
      <c r="B7" s="443" t="s">
        <v>74</v>
      </c>
      <c r="C7" s="434">
        <v>0</v>
      </c>
      <c r="D7" s="268">
        <v>1</v>
      </c>
      <c r="E7" s="294">
        <v>0</v>
      </c>
      <c r="F7" s="294">
        <v>128</v>
      </c>
      <c r="G7" s="265">
        <f>SUM(C7+D7+E7+F7)</f>
        <v>129</v>
      </c>
      <c r="H7" s="468">
        <f>G7/G30</f>
        <v>5.6189563550831951E-3</v>
      </c>
    </row>
    <row r="8" spans="1:8" ht="15" customHeight="1">
      <c r="A8" s="455">
        <v>2</v>
      </c>
      <c r="B8" s="444" t="s">
        <v>75</v>
      </c>
      <c r="C8" s="435">
        <v>0</v>
      </c>
      <c r="D8" s="208">
        <v>0</v>
      </c>
      <c r="E8" s="209">
        <v>0</v>
      </c>
      <c r="F8" s="209">
        <v>44</v>
      </c>
      <c r="G8" s="348">
        <f>SUM(C8+D8+E8+F8)</f>
        <v>44</v>
      </c>
      <c r="H8" s="469">
        <f>G8/G30</f>
        <v>1.9165432528965938E-3</v>
      </c>
    </row>
    <row r="9" spans="1:8" ht="15" customHeight="1">
      <c r="A9" s="455">
        <v>3</v>
      </c>
      <c r="B9" s="444" t="s">
        <v>76</v>
      </c>
      <c r="C9" s="435">
        <v>1</v>
      </c>
      <c r="D9" s="208">
        <v>0</v>
      </c>
      <c r="E9" s="209">
        <v>0</v>
      </c>
      <c r="F9" s="209">
        <f>1973+1</f>
        <v>1974</v>
      </c>
      <c r="G9" s="348">
        <f t="shared" ref="G9:G29" si="0">SUM(C9+D9+E9+F9)</f>
        <v>1975</v>
      </c>
      <c r="H9" s="469">
        <f>G9/G30</f>
        <v>8.6026657374335749E-2</v>
      </c>
    </row>
    <row r="10" spans="1:8" ht="28.5" customHeight="1">
      <c r="A10" s="455">
        <v>4</v>
      </c>
      <c r="B10" s="444" t="s">
        <v>77</v>
      </c>
      <c r="C10" s="436">
        <v>0</v>
      </c>
      <c r="D10" s="211">
        <v>0</v>
      </c>
      <c r="E10" s="212">
        <v>0</v>
      </c>
      <c r="F10" s="193">
        <v>53</v>
      </c>
      <c r="G10" s="349">
        <f t="shared" si="0"/>
        <v>53</v>
      </c>
      <c r="H10" s="469">
        <f>G10/G30</f>
        <v>2.3085634637163518E-3</v>
      </c>
    </row>
    <row r="11" spans="1:8" ht="24.75" customHeight="1">
      <c r="A11" s="455">
        <v>5</v>
      </c>
      <c r="B11" s="444" t="s">
        <v>78</v>
      </c>
      <c r="C11" s="435">
        <v>0</v>
      </c>
      <c r="D11" s="208">
        <v>0</v>
      </c>
      <c r="E11" s="209">
        <v>0</v>
      </c>
      <c r="F11" s="209">
        <v>11</v>
      </c>
      <c r="G11" s="349">
        <f t="shared" si="0"/>
        <v>11</v>
      </c>
      <c r="H11" s="469">
        <f>G11/G30</f>
        <v>4.7913581322414845E-4</v>
      </c>
    </row>
    <row r="12" spans="1:8" ht="15" customHeight="1">
      <c r="A12" s="455">
        <v>6</v>
      </c>
      <c r="B12" s="444" t="s">
        <v>79</v>
      </c>
      <c r="C12" s="436">
        <v>0</v>
      </c>
      <c r="D12" s="189">
        <v>2</v>
      </c>
      <c r="E12" s="193">
        <v>15</v>
      </c>
      <c r="F12" s="193">
        <v>3057</v>
      </c>
      <c r="G12" s="349">
        <f t="shared" si="0"/>
        <v>3074</v>
      </c>
      <c r="H12" s="469">
        <f>G12/G30</f>
        <v>0.1338966808955484</v>
      </c>
    </row>
    <row r="13" spans="1:8" ht="15" customHeight="1">
      <c r="A13" s="455">
        <v>7</v>
      </c>
      <c r="B13" s="444" t="s">
        <v>80</v>
      </c>
      <c r="C13" s="436">
        <v>0</v>
      </c>
      <c r="D13" s="189">
        <v>17</v>
      </c>
      <c r="E13" s="193">
        <v>4</v>
      </c>
      <c r="F13" s="193">
        <f>3824+2</f>
        <v>3826</v>
      </c>
      <c r="G13" s="349">
        <f t="shared" si="0"/>
        <v>3847</v>
      </c>
      <c r="H13" s="469">
        <f>G13/G30</f>
        <v>0.16756686122484538</v>
      </c>
    </row>
    <row r="14" spans="1:8" ht="15" customHeight="1">
      <c r="A14" s="455">
        <v>8</v>
      </c>
      <c r="B14" s="444" t="s">
        <v>81</v>
      </c>
      <c r="C14" s="436">
        <v>0</v>
      </c>
      <c r="D14" s="189">
        <v>0</v>
      </c>
      <c r="E14" s="189">
        <v>1</v>
      </c>
      <c r="F14" s="193">
        <v>769</v>
      </c>
      <c r="G14" s="349">
        <f t="shared" si="0"/>
        <v>770</v>
      </c>
      <c r="H14" s="469">
        <f>G14/G30</f>
        <v>3.3539506925690389E-2</v>
      </c>
    </row>
    <row r="15" spans="1:8" ht="31.5" customHeight="1">
      <c r="A15" s="455">
        <v>9</v>
      </c>
      <c r="B15" s="444" t="s">
        <v>82</v>
      </c>
      <c r="C15" s="435">
        <v>0</v>
      </c>
      <c r="D15" s="208">
        <v>1</v>
      </c>
      <c r="E15" s="189">
        <v>491</v>
      </c>
      <c r="F15" s="209">
        <f>1411+1</f>
        <v>1412</v>
      </c>
      <c r="G15" s="349">
        <f t="shared" si="0"/>
        <v>1904</v>
      </c>
      <c r="H15" s="469">
        <f>G15/G30</f>
        <v>8.2934053488979878E-2</v>
      </c>
    </row>
    <row r="16" spans="1:8" ht="15" customHeight="1">
      <c r="A16" s="455">
        <v>10</v>
      </c>
      <c r="B16" s="444" t="s">
        <v>83</v>
      </c>
      <c r="C16" s="435">
        <v>0</v>
      </c>
      <c r="D16" s="208">
        <v>0</v>
      </c>
      <c r="E16" s="209">
        <v>2</v>
      </c>
      <c r="F16" s="209">
        <v>364</v>
      </c>
      <c r="G16" s="348">
        <f t="shared" si="0"/>
        <v>366</v>
      </c>
      <c r="H16" s="469">
        <f>G16/G30</f>
        <v>1.5942155240003485E-2</v>
      </c>
    </row>
    <row r="17" spans="1:8" ht="15" customHeight="1">
      <c r="A17" s="455">
        <v>11</v>
      </c>
      <c r="B17" s="444" t="s">
        <v>84</v>
      </c>
      <c r="C17" s="435">
        <v>0</v>
      </c>
      <c r="D17" s="208">
        <v>0</v>
      </c>
      <c r="E17" s="209">
        <v>0</v>
      </c>
      <c r="F17" s="193">
        <f>1610+1</f>
        <v>1611</v>
      </c>
      <c r="G17" s="349">
        <f t="shared" si="0"/>
        <v>1611</v>
      </c>
      <c r="H17" s="469">
        <f>G17/G30</f>
        <v>7.0171617736736649E-2</v>
      </c>
    </row>
    <row r="18" spans="1:8" ht="15" customHeight="1">
      <c r="A18" s="455">
        <v>12</v>
      </c>
      <c r="B18" s="444" t="s">
        <v>85</v>
      </c>
      <c r="C18" s="435">
        <v>0</v>
      </c>
      <c r="D18" s="208">
        <v>1</v>
      </c>
      <c r="E18" s="209">
        <v>7</v>
      </c>
      <c r="F18" s="209">
        <v>120</v>
      </c>
      <c r="G18" s="348">
        <f t="shared" si="0"/>
        <v>128</v>
      </c>
      <c r="H18" s="469">
        <f>G18/G30</f>
        <v>5.5753985538809997E-3</v>
      </c>
    </row>
    <row r="19" spans="1:8" ht="15" customHeight="1">
      <c r="A19" s="455">
        <v>13</v>
      </c>
      <c r="B19" s="444" t="s">
        <v>86</v>
      </c>
      <c r="C19" s="435">
        <v>0</v>
      </c>
      <c r="D19" s="208">
        <v>0</v>
      </c>
      <c r="E19" s="209">
        <v>0</v>
      </c>
      <c r="F19" s="209">
        <f>868+1</f>
        <v>869</v>
      </c>
      <c r="G19" s="348">
        <f t="shared" si="0"/>
        <v>869</v>
      </c>
      <c r="H19" s="469">
        <f>G19/G30</f>
        <v>3.7851729244707727E-2</v>
      </c>
    </row>
    <row r="20" spans="1:8" ht="15" customHeight="1">
      <c r="A20" s="455">
        <v>14</v>
      </c>
      <c r="B20" s="444" t="s">
        <v>87</v>
      </c>
      <c r="C20" s="435">
        <v>0</v>
      </c>
      <c r="D20" s="208">
        <v>0</v>
      </c>
      <c r="E20" s="209">
        <v>2</v>
      </c>
      <c r="F20" s="209">
        <v>359</v>
      </c>
      <c r="G20" s="348">
        <f t="shared" si="0"/>
        <v>361</v>
      </c>
      <c r="H20" s="469">
        <f>G20/G30</f>
        <v>1.5724366233992509E-2</v>
      </c>
    </row>
    <row r="21" spans="1:8" ht="15" customHeight="1">
      <c r="A21" s="456">
        <v>15</v>
      </c>
      <c r="B21" s="444" t="s">
        <v>88</v>
      </c>
      <c r="C21" s="435">
        <v>0</v>
      </c>
      <c r="D21" s="208">
        <v>0</v>
      </c>
      <c r="E21" s="209">
        <v>0</v>
      </c>
      <c r="F21" s="209">
        <v>2183</v>
      </c>
      <c r="G21" s="348">
        <f t="shared" si="0"/>
        <v>2183</v>
      </c>
      <c r="H21" s="469">
        <f>G21/G30</f>
        <v>9.508668002439237E-2</v>
      </c>
    </row>
    <row r="22" spans="1:8" ht="15" customHeight="1">
      <c r="A22" s="455">
        <v>16</v>
      </c>
      <c r="B22" s="444" t="s">
        <v>89</v>
      </c>
      <c r="C22" s="435">
        <v>0</v>
      </c>
      <c r="D22" s="208">
        <v>0</v>
      </c>
      <c r="E22" s="209">
        <v>0</v>
      </c>
      <c r="F22" s="209">
        <v>1363</v>
      </c>
      <c r="G22" s="349">
        <f t="shared" si="0"/>
        <v>1363</v>
      </c>
      <c r="H22" s="469">
        <f>G22/G30</f>
        <v>5.9369283038592215E-2</v>
      </c>
    </row>
    <row r="23" spans="1:8" ht="27" customHeight="1">
      <c r="A23" s="456">
        <v>17</v>
      </c>
      <c r="B23" s="444" t="s">
        <v>90</v>
      </c>
      <c r="C23" s="435">
        <v>0</v>
      </c>
      <c r="D23" s="208">
        <v>0</v>
      </c>
      <c r="E23" s="209">
        <v>0</v>
      </c>
      <c r="F23" s="209">
        <v>292</v>
      </c>
      <c r="G23" s="348">
        <f t="shared" si="0"/>
        <v>292</v>
      </c>
      <c r="H23" s="469">
        <f>G23/G30</f>
        <v>1.2718877951041031E-2</v>
      </c>
    </row>
    <row r="24" spans="1:8" ht="15" customHeight="1">
      <c r="A24" s="455">
        <v>18</v>
      </c>
      <c r="B24" s="445" t="s">
        <v>91</v>
      </c>
      <c r="C24" s="435">
        <v>0</v>
      </c>
      <c r="D24" s="208">
        <v>0</v>
      </c>
      <c r="E24" s="209">
        <v>0</v>
      </c>
      <c r="F24" s="209">
        <v>248</v>
      </c>
      <c r="G24" s="348">
        <f t="shared" si="0"/>
        <v>248</v>
      </c>
      <c r="H24" s="469">
        <f>G24/G30</f>
        <v>1.0802334698144438E-2</v>
      </c>
    </row>
    <row r="25" spans="1:8" ht="15" customHeight="1">
      <c r="A25" s="455">
        <v>19</v>
      </c>
      <c r="B25" s="445" t="s">
        <v>92</v>
      </c>
      <c r="C25" s="435">
        <v>0</v>
      </c>
      <c r="D25" s="208">
        <v>0</v>
      </c>
      <c r="E25" s="209">
        <v>2</v>
      </c>
      <c r="F25" s="209">
        <v>461</v>
      </c>
      <c r="G25" s="348">
        <f t="shared" si="0"/>
        <v>463</v>
      </c>
      <c r="H25" s="469">
        <f>G25/G30</f>
        <v>2.0167261956616431E-2</v>
      </c>
    </row>
    <row r="26" spans="1:8" ht="38.25" customHeight="1">
      <c r="A26" s="456">
        <v>20</v>
      </c>
      <c r="B26" s="445" t="s">
        <v>93</v>
      </c>
      <c r="C26" s="435">
        <v>0</v>
      </c>
      <c r="D26" s="208">
        <v>0</v>
      </c>
      <c r="E26" s="209">
        <v>0</v>
      </c>
      <c r="F26" s="209">
        <v>35</v>
      </c>
      <c r="G26" s="351">
        <f t="shared" si="0"/>
        <v>35</v>
      </c>
      <c r="H26" s="469">
        <f>G26/G30</f>
        <v>1.524523042076836E-3</v>
      </c>
    </row>
    <row r="27" spans="1:8" ht="15" customHeight="1">
      <c r="A27" s="455">
        <v>21</v>
      </c>
      <c r="B27" s="445" t="s">
        <v>94</v>
      </c>
      <c r="C27" s="435">
        <v>0</v>
      </c>
      <c r="D27" s="208">
        <v>0</v>
      </c>
      <c r="E27" s="209">
        <v>0</v>
      </c>
      <c r="F27" s="209">
        <v>12</v>
      </c>
      <c r="G27" s="348">
        <f t="shared" si="0"/>
        <v>12</v>
      </c>
      <c r="H27" s="469">
        <f>G27/G30</f>
        <v>5.2269361442634375E-4</v>
      </c>
    </row>
    <row r="28" spans="1:8" ht="15" customHeight="1">
      <c r="A28" s="455">
        <v>22</v>
      </c>
      <c r="B28" s="446" t="s">
        <v>95</v>
      </c>
      <c r="C28" s="435">
        <v>0</v>
      </c>
      <c r="D28" s="208">
        <v>0</v>
      </c>
      <c r="E28" s="209">
        <v>5</v>
      </c>
      <c r="F28" s="209">
        <f>3196+7</f>
        <v>3203</v>
      </c>
      <c r="G28" s="348">
        <f t="shared" si="0"/>
        <v>3208</v>
      </c>
      <c r="H28" s="469">
        <f>G28/G30</f>
        <v>0.13973342625664256</v>
      </c>
    </row>
    <row r="29" spans="1:8" ht="15" customHeight="1" thickBot="1">
      <c r="A29" s="455">
        <v>23</v>
      </c>
      <c r="B29" s="447" t="s">
        <v>96</v>
      </c>
      <c r="C29" s="437">
        <v>0</v>
      </c>
      <c r="D29" s="213">
        <v>0</v>
      </c>
      <c r="E29" s="214">
        <v>0</v>
      </c>
      <c r="F29" s="214">
        <v>12</v>
      </c>
      <c r="G29" s="351">
        <f t="shared" si="0"/>
        <v>12</v>
      </c>
      <c r="H29" s="470">
        <f>G29/G30</f>
        <v>5.2269361442634375E-4</v>
      </c>
    </row>
    <row r="30" spans="1:8" ht="15" customHeight="1" thickBot="1">
      <c r="A30" s="457"/>
      <c r="B30" s="439" t="s">
        <v>6</v>
      </c>
      <c r="C30" s="438">
        <f t="shared" ref="C30:H30" si="1">SUM(C7:C29)</f>
        <v>1</v>
      </c>
      <c r="D30" s="215">
        <f t="shared" si="1"/>
        <v>22</v>
      </c>
      <c r="E30" s="215">
        <f t="shared" si="1"/>
        <v>529</v>
      </c>
      <c r="F30" s="215">
        <f t="shared" si="1"/>
        <v>22406</v>
      </c>
      <c r="G30" s="267">
        <f t="shared" si="1"/>
        <v>22958</v>
      </c>
      <c r="H30" s="471">
        <f t="shared" si="1"/>
        <v>1</v>
      </c>
    </row>
    <row r="31" spans="1:8">
      <c r="A31" s="229"/>
      <c r="B31" s="230"/>
      <c r="C31" s="231"/>
      <c r="D31" s="231"/>
      <c r="E31" s="231"/>
      <c r="F31" s="231"/>
      <c r="G31" s="231"/>
    </row>
    <row r="32" spans="1:8">
      <c r="A32" s="110" t="s">
        <v>139</v>
      </c>
      <c r="B32" s="110"/>
      <c r="F32" s="284" t="s">
        <v>15</v>
      </c>
    </row>
    <row r="33" spans="1:6">
      <c r="A33" s="608">
        <v>41870</v>
      </c>
      <c r="B33" s="608"/>
      <c r="F33" s="284" t="s">
        <v>97</v>
      </c>
    </row>
  </sheetData>
  <mergeCells count="8">
    <mergeCell ref="H5:H6"/>
    <mergeCell ref="C4:H4"/>
    <mergeCell ref="A33:B33"/>
    <mergeCell ref="A2:G2"/>
    <mergeCell ref="A3:C3"/>
    <mergeCell ref="C5:D5"/>
    <mergeCell ref="E5:F5"/>
    <mergeCell ref="G5:G6"/>
  </mergeCells>
  <pageMargins left="0.31496062992125984" right="0.31496062992125984" top="0.35433070866141736" bottom="0.1574803149606299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H33"/>
  <sheetViews>
    <sheetView topLeftCell="A4" workbookViewId="0">
      <selection activeCell="B35" sqref="B35"/>
    </sheetView>
  </sheetViews>
  <sheetFormatPr defaultRowHeight="12.75"/>
  <cols>
    <col min="1" max="1" width="5.28515625" customWidth="1"/>
    <col min="2" max="2" width="50.85546875" customWidth="1"/>
    <col min="3" max="7" width="12.7109375" customWidth="1"/>
    <col min="8" max="8" width="13.28515625" customWidth="1"/>
  </cols>
  <sheetData>
    <row r="1" spans="1:8">
      <c r="A1" s="426" t="s">
        <v>112</v>
      </c>
      <c r="B1" s="48"/>
    </row>
    <row r="2" spans="1:8" ht="26.25" customHeight="1">
      <c r="A2" s="569" t="s">
        <v>140</v>
      </c>
      <c r="B2" s="569"/>
      <c r="C2" s="569"/>
      <c r="D2" s="569"/>
      <c r="E2" s="569"/>
      <c r="F2" s="569"/>
      <c r="G2" s="569"/>
    </row>
    <row r="3" spans="1:8" ht="16.5" thickBot="1">
      <c r="A3" s="568"/>
      <c r="B3" s="568"/>
      <c r="C3" s="568"/>
    </row>
    <row r="4" spans="1:8" ht="18" customHeight="1">
      <c r="A4" s="451"/>
      <c r="B4" s="440"/>
      <c r="C4" s="584" t="s">
        <v>66</v>
      </c>
      <c r="D4" s="585"/>
      <c r="E4" s="585"/>
      <c r="F4" s="585"/>
      <c r="G4" s="585"/>
      <c r="H4" s="613"/>
    </row>
    <row r="5" spans="1:8" ht="18.75" customHeight="1">
      <c r="A5" s="452" t="s">
        <v>67</v>
      </c>
      <c r="B5" s="441" t="s">
        <v>68</v>
      </c>
      <c r="C5" s="576" t="s">
        <v>69</v>
      </c>
      <c r="D5" s="587"/>
      <c r="E5" s="588" t="s">
        <v>70</v>
      </c>
      <c r="F5" s="588"/>
      <c r="G5" s="615" t="s">
        <v>6</v>
      </c>
      <c r="H5" s="611" t="s">
        <v>123</v>
      </c>
    </row>
    <row r="6" spans="1:8" ht="24.75" customHeight="1" thickBot="1">
      <c r="A6" s="442"/>
      <c r="B6" s="442"/>
      <c r="C6" s="465" t="s">
        <v>71</v>
      </c>
      <c r="D6" s="350" t="s">
        <v>72</v>
      </c>
      <c r="E6" s="350" t="s">
        <v>72</v>
      </c>
      <c r="F6" s="350" t="s">
        <v>73</v>
      </c>
      <c r="G6" s="616"/>
      <c r="H6" s="612"/>
    </row>
    <row r="7" spans="1:8" ht="15" customHeight="1">
      <c r="A7" s="454">
        <v>1</v>
      </c>
      <c r="B7" s="443" t="s">
        <v>74</v>
      </c>
      <c r="C7" s="434">
        <v>0</v>
      </c>
      <c r="D7" s="268">
        <v>1</v>
      </c>
      <c r="E7" s="294">
        <v>0</v>
      </c>
      <c r="F7" s="294">
        <v>132</v>
      </c>
      <c r="G7" s="265">
        <f>SUM(C7+D7+E7+F7)</f>
        <v>133</v>
      </c>
      <c r="H7" s="354">
        <f>G7/G30</f>
        <v>5.8875608676405488E-3</v>
      </c>
    </row>
    <row r="8" spans="1:8" ht="15" customHeight="1">
      <c r="A8" s="455">
        <v>2</v>
      </c>
      <c r="B8" s="444" t="s">
        <v>75</v>
      </c>
      <c r="C8" s="435">
        <v>0</v>
      </c>
      <c r="D8" s="208">
        <v>0</v>
      </c>
      <c r="E8" s="209">
        <v>0</v>
      </c>
      <c r="F8" s="209">
        <v>38</v>
      </c>
      <c r="G8" s="348">
        <f>SUM(C8+D8+E8+F8)</f>
        <v>38</v>
      </c>
      <c r="H8" s="355">
        <f>G8/G30</f>
        <v>1.6821602478972997E-3</v>
      </c>
    </row>
    <row r="9" spans="1:8" ht="15" customHeight="1">
      <c r="A9" s="455">
        <v>3</v>
      </c>
      <c r="B9" s="444" t="s">
        <v>76</v>
      </c>
      <c r="C9" s="435">
        <v>1</v>
      </c>
      <c r="D9" s="208">
        <v>0</v>
      </c>
      <c r="E9" s="209">
        <v>0</v>
      </c>
      <c r="F9" s="209">
        <f>1825+2</f>
        <v>1827</v>
      </c>
      <c r="G9" s="348">
        <f t="shared" ref="G9:G29" si="0">SUM(C9+D9+E9+F9)</f>
        <v>1828</v>
      </c>
      <c r="H9" s="355">
        <f>G9/G30</f>
        <v>8.0920761398849045E-2</v>
      </c>
    </row>
    <row r="10" spans="1:8" ht="15" customHeight="1">
      <c r="A10" s="455">
        <v>4</v>
      </c>
      <c r="B10" s="444" t="s">
        <v>77</v>
      </c>
      <c r="C10" s="436">
        <v>0</v>
      </c>
      <c r="D10" s="211">
        <v>0</v>
      </c>
      <c r="E10" s="212">
        <v>0</v>
      </c>
      <c r="F10" s="193">
        <v>45</v>
      </c>
      <c r="G10" s="349">
        <f t="shared" si="0"/>
        <v>45</v>
      </c>
      <c r="H10" s="355">
        <f>G10/G30</f>
        <v>1.9920318725099601E-3</v>
      </c>
    </row>
    <row r="11" spans="1:8" ht="24.75" customHeight="1">
      <c r="A11" s="455">
        <v>5</v>
      </c>
      <c r="B11" s="444" t="s">
        <v>78</v>
      </c>
      <c r="C11" s="435">
        <v>0</v>
      </c>
      <c r="D11" s="208">
        <v>0</v>
      </c>
      <c r="E11" s="209">
        <v>0</v>
      </c>
      <c r="F11" s="209">
        <v>8</v>
      </c>
      <c r="G11" s="349">
        <f t="shared" si="0"/>
        <v>8</v>
      </c>
      <c r="H11" s="355">
        <f>G11/G30</f>
        <v>3.5413899955732628E-4</v>
      </c>
    </row>
    <row r="12" spans="1:8" ht="15" customHeight="1">
      <c r="A12" s="455">
        <v>6</v>
      </c>
      <c r="B12" s="444" t="s">
        <v>79</v>
      </c>
      <c r="C12" s="436">
        <v>0</v>
      </c>
      <c r="D12" s="189">
        <v>2</v>
      </c>
      <c r="E12" s="193">
        <v>13</v>
      </c>
      <c r="F12" s="193">
        <v>2776</v>
      </c>
      <c r="G12" s="349">
        <f t="shared" si="0"/>
        <v>2791</v>
      </c>
      <c r="H12" s="355">
        <f>G12/G30</f>
        <v>0.12355024347056219</v>
      </c>
    </row>
    <row r="13" spans="1:8" ht="24.75" customHeight="1">
      <c r="A13" s="455">
        <v>7</v>
      </c>
      <c r="B13" s="444" t="s">
        <v>80</v>
      </c>
      <c r="C13" s="436">
        <v>0</v>
      </c>
      <c r="D13" s="189">
        <v>16</v>
      </c>
      <c r="E13" s="193">
        <v>4</v>
      </c>
      <c r="F13" s="193">
        <f>3492+2</f>
        <v>3494</v>
      </c>
      <c r="G13" s="349">
        <f t="shared" si="0"/>
        <v>3514</v>
      </c>
      <c r="H13" s="355">
        <f>G13/G30</f>
        <v>0.15555555555555556</v>
      </c>
    </row>
    <row r="14" spans="1:8" ht="15" customHeight="1">
      <c r="A14" s="455">
        <v>8</v>
      </c>
      <c r="B14" s="444" t="s">
        <v>81</v>
      </c>
      <c r="C14" s="436">
        <v>0</v>
      </c>
      <c r="D14" s="189">
        <v>0</v>
      </c>
      <c r="E14" s="189">
        <v>0</v>
      </c>
      <c r="F14" s="193">
        <v>704</v>
      </c>
      <c r="G14" s="349">
        <f t="shared" si="0"/>
        <v>704</v>
      </c>
      <c r="H14" s="355">
        <f>G14/G30</f>
        <v>3.116423196104471E-2</v>
      </c>
    </row>
    <row r="15" spans="1:8" ht="15" customHeight="1">
      <c r="A15" s="455">
        <v>9</v>
      </c>
      <c r="B15" s="444" t="s">
        <v>82</v>
      </c>
      <c r="C15" s="435">
        <v>0</v>
      </c>
      <c r="D15" s="208">
        <v>1</v>
      </c>
      <c r="E15" s="189">
        <v>349</v>
      </c>
      <c r="F15" s="209">
        <f>1364+5</f>
        <v>1369</v>
      </c>
      <c r="G15" s="349">
        <f t="shared" si="0"/>
        <v>1719</v>
      </c>
      <c r="H15" s="355">
        <f>G15/G30</f>
        <v>7.6095617529880477E-2</v>
      </c>
    </row>
    <row r="16" spans="1:8" ht="15" customHeight="1">
      <c r="A16" s="455">
        <v>10</v>
      </c>
      <c r="B16" s="444" t="s">
        <v>83</v>
      </c>
      <c r="C16" s="435">
        <v>0</v>
      </c>
      <c r="D16" s="208">
        <v>0</v>
      </c>
      <c r="E16" s="209">
        <v>2</v>
      </c>
      <c r="F16" s="209">
        <v>459</v>
      </c>
      <c r="G16" s="348">
        <f t="shared" si="0"/>
        <v>461</v>
      </c>
      <c r="H16" s="355">
        <f>G16/G30</f>
        <v>2.0407259849490926E-2</v>
      </c>
    </row>
    <row r="17" spans="1:8" ht="15" customHeight="1">
      <c r="A17" s="455">
        <v>11</v>
      </c>
      <c r="B17" s="444" t="s">
        <v>84</v>
      </c>
      <c r="C17" s="435">
        <v>0</v>
      </c>
      <c r="D17" s="208">
        <v>0</v>
      </c>
      <c r="E17" s="209">
        <v>0</v>
      </c>
      <c r="F17" s="193">
        <v>1519</v>
      </c>
      <c r="G17" s="349">
        <f t="shared" si="0"/>
        <v>1519</v>
      </c>
      <c r="H17" s="355">
        <f>G17/G30</f>
        <v>6.7242142540947319E-2</v>
      </c>
    </row>
    <row r="18" spans="1:8" ht="15" customHeight="1">
      <c r="A18" s="455">
        <v>12</v>
      </c>
      <c r="B18" s="444" t="s">
        <v>85</v>
      </c>
      <c r="C18" s="435">
        <v>0</v>
      </c>
      <c r="D18" s="208">
        <v>0</v>
      </c>
      <c r="E18" s="209">
        <v>7</v>
      </c>
      <c r="F18" s="209">
        <v>109</v>
      </c>
      <c r="G18" s="348">
        <f t="shared" si="0"/>
        <v>116</v>
      </c>
      <c r="H18" s="355">
        <f>G18/G30</f>
        <v>5.1350154935812303E-3</v>
      </c>
    </row>
    <row r="19" spans="1:8" ht="15" customHeight="1">
      <c r="A19" s="455">
        <v>13</v>
      </c>
      <c r="B19" s="444" t="s">
        <v>86</v>
      </c>
      <c r="C19" s="435">
        <v>0</v>
      </c>
      <c r="D19" s="208">
        <v>0</v>
      </c>
      <c r="E19" s="209">
        <v>0</v>
      </c>
      <c r="F19" s="209">
        <v>785</v>
      </c>
      <c r="G19" s="348">
        <f t="shared" si="0"/>
        <v>785</v>
      </c>
      <c r="H19" s="355">
        <f>G19/G30</f>
        <v>3.4749889331562638E-2</v>
      </c>
    </row>
    <row r="20" spans="1:8" ht="15" customHeight="1">
      <c r="A20" s="455">
        <v>14</v>
      </c>
      <c r="B20" s="444" t="s">
        <v>87</v>
      </c>
      <c r="C20" s="435">
        <v>0</v>
      </c>
      <c r="D20" s="208">
        <v>0</v>
      </c>
      <c r="E20" s="209">
        <v>2</v>
      </c>
      <c r="F20" s="209">
        <v>347</v>
      </c>
      <c r="G20" s="348">
        <f t="shared" si="0"/>
        <v>349</v>
      </c>
      <c r="H20" s="355">
        <f>G20/G30</f>
        <v>1.5449313855688358E-2</v>
      </c>
    </row>
    <row r="21" spans="1:8" ht="15" customHeight="1">
      <c r="A21" s="456">
        <v>15</v>
      </c>
      <c r="B21" s="444" t="s">
        <v>88</v>
      </c>
      <c r="C21" s="435">
        <v>0</v>
      </c>
      <c r="D21" s="208">
        <v>0</v>
      </c>
      <c r="E21" s="209">
        <v>0</v>
      </c>
      <c r="F21" s="209">
        <v>2015</v>
      </c>
      <c r="G21" s="348">
        <f t="shared" si="0"/>
        <v>2015</v>
      </c>
      <c r="H21" s="355">
        <f>G21/G30</f>
        <v>8.9198760513501549E-2</v>
      </c>
    </row>
    <row r="22" spans="1:8" ht="15" customHeight="1">
      <c r="A22" s="455">
        <v>16</v>
      </c>
      <c r="B22" s="444" t="s">
        <v>89</v>
      </c>
      <c r="C22" s="435">
        <v>0</v>
      </c>
      <c r="D22" s="208">
        <v>0</v>
      </c>
      <c r="E22" s="209">
        <v>0</v>
      </c>
      <c r="F22" s="209">
        <f>2272+1</f>
        <v>2273</v>
      </c>
      <c r="G22" s="349">
        <f t="shared" si="0"/>
        <v>2273</v>
      </c>
      <c r="H22" s="355">
        <f>G22/G30</f>
        <v>0.10061974324922532</v>
      </c>
    </row>
    <row r="23" spans="1:8" ht="24.75" customHeight="1">
      <c r="A23" s="456">
        <v>17</v>
      </c>
      <c r="B23" s="444" t="s">
        <v>90</v>
      </c>
      <c r="C23" s="435">
        <v>0</v>
      </c>
      <c r="D23" s="208">
        <v>0</v>
      </c>
      <c r="E23" s="209">
        <v>0</v>
      </c>
      <c r="F23" s="209">
        <v>295</v>
      </c>
      <c r="G23" s="348">
        <f t="shared" si="0"/>
        <v>295</v>
      </c>
      <c r="H23" s="355">
        <f>G23/G30</f>
        <v>1.3058875608676405E-2</v>
      </c>
    </row>
    <row r="24" spans="1:8" ht="15" customHeight="1">
      <c r="A24" s="455">
        <v>18</v>
      </c>
      <c r="B24" s="445" t="s">
        <v>91</v>
      </c>
      <c r="C24" s="435">
        <v>0</v>
      </c>
      <c r="D24" s="208">
        <v>0</v>
      </c>
      <c r="E24" s="209">
        <v>0</v>
      </c>
      <c r="F24" s="209">
        <v>257</v>
      </c>
      <c r="G24" s="348">
        <f t="shared" si="0"/>
        <v>257</v>
      </c>
      <c r="H24" s="355">
        <f>G24/G30</f>
        <v>1.1376715360779105E-2</v>
      </c>
    </row>
    <row r="25" spans="1:8" ht="15" customHeight="1">
      <c r="A25" s="455">
        <v>19</v>
      </c>
      <c r="B25" s="445" t="s">
        <v>92</v>
      </c>
      <c r="C25" s="435">
        <v>0</v>
      </c>
      <c r="D25" s="208">
        <v>0</v>
      </c>
      <c r="E25" s="209">
        <v>2</v>
      </c>
      <c r="F25" s="209">
        <v>518</v>
      </c>
      <c r="G25" s="348">
        <f t="shared" si="0"/>
        <v>520</v>
      </c>
      <c r="H25" s="355">
        <f>G25/G30</f>
        <v>2.3019034971226208E-2</v>
      </c>
    </row>
    <row r="26" spans="1:8" ht="39" customHeight="1">
      <c r="A26" s="456">
        <v>20</v>
      </c>
      <c r="B26" s="445" t="s">
        <v>93</v>
      </c>
      <c r="C26" s="435">
        <v>0</v>
      </c>
      <c r="D26" s="208">
        <v>0</v>
      </c>
      <c r="E26" s="209">
        <v>0</v>
      </c>
      <c r="F26" s="209">
        <v>39</v>
      </c>
      <c r="G26" s="351">
        <f t="shared" si="0"/>
        <v>39</v>
      </c>
      <c r="H26" s="355">
        <f>G26/G30</f>
        <v>1.7264276228419655E-3</v>
      </c>
    </row>
    <row r="27" spans="1:8" ht="15" customHeight="1">
      <c r="A27" s="455">
        <v>21</v>
      </c>
      <c r="B27" s="445" t="s">
        <v>94</v>
      </c>
      <c r="C27" s="435">
        <v>0</v>
      </c>
      <c r="D27" s="208">
        <v>0</v>
      </c>
      <c r="E27" s="209">
        <v>0</v>
      </c>
      <c r="F27" s="209">
        <v>14</v>
      </c>
      <c r="G27" s="348">
        <f t="shared" si="0"/>
        <v>14</v>
      </c>
      <c r="H27" s="355">
        <f>G27/G30</f>
        <v>6.197432492253209E-4</v>
      </c>
    </row>
    <row r="28" spans="1:8" ht="15" customHeight="1">
      <c r="A28" s="455">
        <v>22</v>
      </c>
      <c r="B28" s="446" t="s">
        <v>95</v>
      </c>
      <c r="C28" s="435">
        <v>0</v>
      </c>
      <c r="D28" s="208">
        <v>0</v>
      </c>
      <c r="E28" s="209">
        <v>3</v>
      </c>
      <c r="F28" s="209">
        <f>3147+8</f>
        <v>3155</v>
      </c>
      <c r="G28" s="348">
        <f t="shared" si="0"/>
        <v>3158</v>
      </c>
      <c r="H28" s="355">
        <f>G28/G30</f>
        <v>0.13979637007525453</v>
      </c>
    </row>
    <row r="29" spans="1:8" ht="15" customHeight="1" thickBot="1">
      <c r="A29" s="455">
        <v>23</v>
      </c>
      <c r="B29" s="447" t="s">
        <v>96</v>
      </c>
      <c r="C29" s="437">
        <v>0</v>
      </c>
      <c r="D29" s="213">
        <v>0</v>
      </c>
      <c r="E29" s="214">
        <v>0</v>
      </c>
      <c r="F29" s="214">
        <v>9</v>
      </c>
      <c r="G29" s="351">
        <f t="shared" si="0"/>
        <v>9</v>
      </c>
      <c r="H29" s="472">
        <f>G29/G30</f>
        <v>3.9840637450199205E-4</v>
      </c>
    </row>
    <row r="30" spans="1:8" ht="15" customHeight="1" thickBot="1">
      <c r="A30" s="457"/>
      <c r="B30" s="439" t="s">
        <v>6</v>
      </c>
      <c r="C30" s="438">
        <f t="shared" ref="C30:H30" si="1">SUM(C7:C29)</f>
        <v>1</v>
      </c>
      <c r="D30" s="215">
        <f t="shared" si="1"/>
        <v>20</v>
      </c>
      <c r="E30" s="215">
        <f t="shared" si="1"/>
        <v>382</v>
      </c>
      <c r="F30" s="215">
        <f t="shared" si="1"/>
        <v>22187</v>
      </c>
      <c r="G30" s="267">
        <f t="shared" si="1"/>
        <v>22590</v>
      </c>
      <c r="H30" s="471">
        <f t="shared" si="1"/>
        <v>0.99999999999999978</v>
      </c>
    </row>
    <row r="31" spans="1:8">
      <c r="A31" s="229"/>
      <c r="B31" s="230"/>
      <c r="C31" s="231"/>
      <c r="D31" s="231"/>
      <c r="E31" s="231"/>
      <c r="F31" s="231"/>
      <c r="G31" s="231"/>
    </row>
    <row r="32" spans="1:8">
      <c r="A32" s="110" t="s">
        <v>141</v>
      </c>
      <c r="B32" s="110"/>
      <c r="F32" s="284" t="s">
        <v>15</v>
      </c>
    </row>
    <row r="33" spans="1:6">
      <c r="A33" s="614">
        <v>41899</v>
      </c>
      <c r="B33" s="614"/>
      <c r="F33" s="284" t="s">
        <v>97</v>
      </c>
    </row>
  </sheetData>
  <mergeCells count="8">
    <mergeCell ref="H5:H6"/>
    <mergeCell ref="C4:H4"/>
    <mergeCell ref="A33:B33"/>
    <mergeCell ref="A2:G2"/>
    <mergeCell ref="A3:C3"/>
    <mergeCell ref="C5:D5"/>
    <mergeCell ref="E5:F5"/>
    <mergeCell ref="G5:G6"/>
  </mergeCells>
  <pageMargins left="0.11811023622047245" right="0.11811023622047245" top="0.35433070866141736" bottom="0"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2:H34"/>
  <sheetViews>
    <sheetView topLeftCell="A13" workbookViewId="0">
      <selection activeCell="G31" sqref="G31"/>
    </sheetView>
  </sheetViews>
  <sheetFormatPr defaultRowHeight="12.75"/>
  <cols>
    <col min="1" max="1" width="5.42578125" customWidth="1"/>
    <col min="2" max="2" width="55.5703125" customWidth="1"/>
    <col min="3" max="7" width="12.7109375" customWidth="1"/>
    <col min="8" max="8" width="11.7109375" customWidth="1"/>
  </cols>
  <sheetData>
    <row r="2" spans="1:8">
      <c r="A2" s="426" t="s">
        <v>119</v>
      </c>
      <c r="B2" s="48"/>
    </row>
    <row r="3" spans="1:8" ht="27" customHeight="1">
      <c r="A3" s="569" t="s">
        <v>142</v>
      </c>
      <c r="B3" s="569"/>
      <c r="C3" s="569"/>
      <c r="D3" s="569"/>
      <c r="E3" s="569"/>
      <c r="F3" s="569"/>
      <c r="G3" s="569"/>
    </row>
    <row r="4" spans="1:8" ht="16.5" thickBot="1">
      <c r="A4" s="568"/>
      <c r="B4" s="568"/>
      <c r="C4" s="568"/>
    </row>
    <row r="5" spans="1:8" ht="16.5" customHeight="1">
      <c r="A5" s="451"/>
      <c r="B5" s="440"/>
      <c r="C5" s="584" t="s">
        <v>66</v>
      </c>
      <c r="D5" s="585"/>
      <c r="E5" s="585"/>
      <c r="F5" s="585"/>
      <c r="G5" s="585"/>
      <c r="H5" s="473"/>
    </row>
    <row r="6" spans="1:8">
      <c r="A6" s="452" t="s">
        <v>67</v>
      </c>
      <c r="B6" s="441" t="s">
        <v>68</v>
      </c>
      <c r="C6" s="576" t="s">
        <v>69</v>
      </c>
      <c r="D6" s="587"/>
      <c r="E6" s="588" t="s">
        <v>70</v>
      </c>
      <c r="F6" s="588"/>
      <c r="G6" s="615" t="s">
        <v>6</v>
      </c>
      <c r="H6" s="617" t="s">
        <v>123</v>
      </c>
    </row>
    <row r="7" spans="1:8" ht="27" customHeight="1" thickBot="1">
      <c r="A7" s="442"/>
      <c r="B7" s="442"/>
      <c r="C7" s="465" t="s">
        <v>71</v>
      </c>
      <c r="D7" s="350" t="s">
        <v>72</v>
      </c>
      <c r="E7" s="350" t="s">
        <v>72</v>
      </c>
      <c r="F7" s="350" t="s">
        <v>73</v>
      </c>
      <c r="G7" s="616"/>
      <c r="H7" s="618"/>
    </row>
    <row r="8" spans="1:8" ht="15" customHeight="1">
      <c r="A8" s="454">
        <v>1</v>
      </c>
      <c r="B8" s="443" t="s">
        <v>74</v>
      </c>
      <c r="C8" s="434">
        <v>0</v>
      </c>
      <c r="D8" s="268">
        <v>0</v>
      </c>
      <c r="E8" s="294">
        <v>0</v>
      </c>
      <c r="F8" s="294">
        <v>128</v>
      </c>
      <c r="G8" s="265">
        <f>SUM(C8+D8+E8+F8)</f>
        <v>128</v>
      </c>
      <c r="H8" s="354">
        <f>G8/G31</f>
        <v>5.9723777528928705E-3</v>
      </c>
    </row>
    <row r="9" spans="1:8" ht="15" customHeight="1">
      <c r="A9" s="455">
        <v>2</v>
      </c>
      <c r="B9" s="444" t="s">
        <v>75</v>
      </c>
      <c r="C9" s="435">
        <v>0</v>
      </c>
      <c r="D9" s="208">
        <v>0</v>
      </c>
      <c r="E9" s="209">
        <v>0</v>
      </c>
      <c r="F9" s="209">
        <v>32</v>
      </c>
      <c r="G9" s="348">
        <f>SUM(C9+D9+E9+F9)</f>
        <v>32</v>
      </c>
      <c r="H9" s="355">
        <f>G9/G31</f>
        <v>1.4930944382232176E-3</v>
      </c>
    </row>
    <row r="10" spans="1:8" ht="15" customHeight="1">
      <c r="A10" s="455">
        <v>3</v>
      </c>
      <c r="B10" s="444" t="s">
        <v>76</v>
      </c>
      <c r="C10" s="435">
        <v>0</v>
      </c>
      <c r="D10" s="208">
        <v>0</v>
      </c>
      <c r="E10" s="209">
        <v>0</v>
      </c>
      <c r="F10" s="209">
        <f>1674+2</f>
        <v>1676</v>
      </c>
      <c r="G10" s="348">
        <f t="shared" ref="G10:G30" si="0">SUM(C10+D10+E10+F10)</f>
        <v>1676</v>
      </c>
      <c r="H10" s="355">
        <f>G10/G31</f>
        <v>7.8200821201941023E-2</v>
      </c>
    </row>
    <row r="11" spans="1:8" ht="15" customHeight="1">
      <c r="A11" s="455">
        <v>4</v>
      </c>
      <c r="B11" s="444" t="s">
        <v>77</v>
      </c>
      <c r="C11" s="436">
        <v>0</v>
      </c>
      <c r="D11" s="211">
        <v>0</v>
      </c>
      <c r="E11" s="212">
        <v>0</v>
      </c>
      <c r="F11" s="193">
        <v>39</v>
      </c>
      <c r="G11" s="349">
        <f t="shared" si="0"/>
        <v>39</v>
      </c>
      <c r="H11" s="355">
        <f>G11/G31</f>
        <v>1.8197088465845466E-3</v>
      </c>
    </row>
    <row r="12" spans="1:8" ht="23.25" customHeight="1">
      <c r="A12" s="455">
        <v>5</v>
      </c>
      <c r="B12" s="444" t="s">
        <v>78</v>
      </c>
      <c r="C12" s="435">
        <v>0</v>
      </c>
      <c r="D12" s="208">
        <v>0</v>
      </c>
      <c r="E12" s="209">
        <v>0</v>
      </c>
      <c r="F12" s="209">
        <v>12</v>
      </c>
      <c r="G12" s="349">
        <f t="shared" si="0"/>
        <v>12</v>
      </c>
      <c r="H12" s="355">
        <f>G12/G31</f>
        <v>5.5991041433370661E-4</v>
      </c>
    </row>
    <row r="13" spans="1:8" ht="15" customHeight="1">
      <c r="A13" s="455">
        <v>6</v>
      </c>
      <c r="B13" s="444" t="s">
        <v>79</v>
      </c>
      <c r="C13" s="436">
        <v>0</v>
      </c>
      <c r="D13" s="189">
        <v>2</v>
      </c>
      <c r="E13" s="193">
        <v>15</v>
      </c>
      <c r="F13" s="193">
        <v>2481</v>
      </c>
      <c r="G13" s="349">
        <f t="shared" si="0"/>
        <v>2498</v>
      </c>
      <c r="H13" s="355">
        <f>G13/G31</f>
        <v>0.11655468458379993</v>
      </c>
    </row>
    <row r="14" spans="1:8" ht="25.5" customHeight="1">
      <c r="A14" s="455">
        <v>7</v>
      </c>
      <c r="B14" s="444" t="s">
        <v>80</v>
      </c>
      <c r="C14" s="436">
        <v>0</v>
      </c>
      <c r="D14" s="189">
        <v>6</v>
      </c>
      <c r="E14" s="193">
        <v>3</v>
      </c>
      <c r="F14" s="193">
        <f>3205+6</f>
        <v>3211</v>
      </c>
      <c r="G14" s="349">
        <f t="shared" si="0"/>
        <v>3220</v>
      </c>
      <c r="H14" s="355">
        <f>G14/G31</f>
        <v>0.15024262784621129</v>
      </c>
    </row>
    <row r="15" spans="1:8" ht="15" customHeight="1">
      <c r="A15" s="455">
        <v>8</v>
      </c>
      <c r="B15" s="444" t="s">
        <v>81</v>
      </c>
      <c r="C15" s="436">
        <v>0</v>
      </c>
      <c r="D15" s="189">
        <v>0</v>
      </c>
      <c r="E15" s="189">
        <v>0</v>
      </c>
      <c r="F15" s="193">
        <v>677</v>
      </c>
      <c r="G15" s="349">
        <f t="shared" si="0"/>
        <v>677</v>
      </c>
      <c r="H15" s="355">
        <f>G15/G31</f>
        <v>3.1588279208659947E-2</v>
      </c>
    </row>
    <row r="16" spans="1:8" ht="15" customHeight="1">
      <c r="A16" s="455">
        <v>9</v>
      </c>
      <c r="B16" s="444" t="s">
        <v>82</v>
      </c>
      <c r="C16" s="435">
        <v>0</v>
      </c>
      <c r="D16" s="208">
        <v>1</v>
      </c>
      <c r="E16" s="189">
        <v>279</v>
      </c>
      <c r="F16" s="209">
        <f>1308+3</f>
        <v>1311</v>
      </c>
      <c r="G16" s="349">
        <f t="shared" si="0"/>
        <v>1591</v>
      </c>
      <c r="H16" s="355">
        <f>G16/G31</f>
        <v>7.4234789100410606E-2</v>
      </c>
    </row>
    <row r="17" spans="1:8" ht="15" customHeight="1">
      <c r="A17" s="455">
        <v>10</v>
      </c>
      <c r="B17" s="444" t="s">
        <v>83</v>
      </c>
      <c r="C17" s="435">
        <v>0</v>
      </c>
      <c r="D17" s="208">
        <v>0</v>
      </c>
      <c r="E17" s="209">
        <v>1</v>
      </c>
      <c r="F17" s="209">
        <v>442</v>
      </c>
      <c r="G17" s="348">
        <f t="shared" si="0"/>
        <v>443</v>
      </c>
      <c r="H17" s="355">
        <f>G17/G31</f>
        <v>2.0670026129152669E-2</v>
      </c>
    </row>
    <row r="18" spans="1:8" ht="15" customHeight="1">
      <c r="A18" s="455">
        <v>11</v>
      </c>
      <c r="B18" s="444" t="s">
        <v>84</v>
      </c>
      <c r="C18" s="435">
        <v>0</v>
      </c>
      <c r="D18" s="208">
        <v>0</v>
      </c>
      <c r="E18" s="209">
        <v>0</v>
      </c>
      <c r="F18" s="193">
        <v>1454</v>
      </c>
      <c r="G18" s="349">
        <f t="shared" si="0"/>
        <v>1454</v>
      </c>
      <c r="H18" s="355">
        <f>G18/G31</f>
        <v>6.7842478536767448E-2</v>
      </c>
    </row>
    <row r="19" spans="1:8" ht="15" customHeight="1">
      <c r="A19" s="455">
        <v>12</v>
      </c>
      <c r="B19" s="444" t="s">
        <v>85</v>
      </c>
      <c r="C19" s="435">
        <v>0</v>
      </c>
      <c r="D19" s="208">
        <v>0</v>
      </c>
      <c r="E19" s="209">
        <v>7</v>
      </c>
      <c r="F19" s="209">
        <v>101</v>
      </c>
      <c r="G19" s="348">
        <f t="shared" si="0"/>
        <v>108</v>
      </c>
      <c r="H19" s="355">
        <f>G19/G31</f>
        <v>5.0391937290033594E-3</v>
      </c>
    </row>
    <row r="20" spans="1:8" ht="15" customHeight="1">
      <c r="A20" s="455">
        <v>13</v>
      </c>
      <c r="B20" s="444" t="s">
        <v>86</v>
      </c>
      <c r="C20" s="435">
        <v>0</v>
      </c>
      <c r="D20" s="208">
        <v>0</v>
      </c>
      <c r="E20" s="209">
        <v>0</v>
      </c>
      <c r="F20" s="209">
        <v>728</v>
      </c>
      <c r="G20" s="348">
        <f t="shared" si="0"/>
        <v>728</v>
      </c>
      <c r="H20" s="355">
        <f>G20/G31</f>
        <v>3.3967898469578199E-2</v>
      </c>
    </row>
    <row r="21" spans="1:8" ht="15" customHeight="1">
      <c r="A21" s="455">
        <v>14</v>
      </c>
      <c r="B21" s="444" t="s">
        <v>87</v>
      </c>
      <c r="C21" s="435">
        <v>0</v>
      </c>
      <c r="D21" s="208">
        <v>0</v>
      </c>
      <c r="E21" s="209">
        <v>2</v>
      </c>
      <c r="F21" s="209">
        <v>337</v>
      </c>
      <c r="G21" s="348">
        <f t="shared" si="0"/>
        <v>339</v>
      </c>
      <c r="H21" s="355">
        <f>G21/G31</f>
        <v>1.5817469204927211E-2</v>
      </c>
    </row>
    <row r="22" spans="1:8" ht="15" customHeight="1">
      <c r="A22" s="456">
        <v>15</v>
      </c>
      <c r="B22" s="444" t="s">
        <v>88</v>
      </c>
      <c r="C22" s="435">
        <v>0</v>
      </c>
      <c r="D22" s="208">
        <v>0</v>
      </c>
      <c r="E22" s="209">
        <v>0</v>
      </c>
      <c r="F22" s="209">
        <v>2017</v>
      </c>
      <c r="G22" s="348">
        <f t="shared" si="0"/>
        <v>2017</v>
      </c>
      <c r="H22" s="355">
        <f>G22/G31</f>
        <v>9.4111608809257188E-2</v>
      </c>
    </row>
    <row r="23" spans="1:8" ht="15" customHeight="1">
      <c r="A23" s="455">
        <v>16</v>
      </c>
      <c r="B23" s="444" t="s">
        <v>89</v>
      </c>
      <c r="C23" s="435">
        <v>0</v>
      </c>
      <c r="D23" s="208">
        <v>0</v>
      </c>
      <c r="E23" s="209">
        <v>0</v>
      </c>
      <c r="F23" s="209">
        <f>2314+2</f>
        <v>2316</v>
      </c>
      <c r="G23" s="349">
        <f t="shared" si="0"/>
        <v>2316</v>
      </c>
      <c r="H23" s="355">
        <f>G23/G31</f>
        <v>0.10806270996640538</v>
      </c>
    </row>
    <row r="24" spans="1:8" ht="23.25" customHeight="1">
      <c r="A24" s="456">
        <v>17</v>
      </c>
      <c r="B24" s="444" t="s">
        <v>90</v>
      </c>
      <c r="C24" s="435">
        <v>0</v>
      </c>
      <c r="D24" s="208">
        <v>0</v>
      </c>
      <c r="E24" s="209">
        <v>0</v>
      </c>
      <c r="F24" s="209">
        <v>302</v>
      </c>
      <c r="G24" s="348">
        <f t="shared" si="0"/>
        <v>302</v>
      </c>
      <c r="H24" s="355">
        <f>G24/G31</f>
        <v>1.4091078760731617E-2</v>
      </c>
    </row>
    <row r="25" spans="1:8" ht="15" customHeight="1">
      <c r="A25" s="455">
        <v>18</v>
      </c>
      <c r="B25" s="445" t="s">
        <v>91</v>
      </c>
      <c r="C25" s="435">
        <v>0</v>
      </c>
      <c r="D25" s="208">
        <v>0</v>
      </c>
      <c r="E25" s="209">
        <v>0</v>
      </c>
      <c r="F25" s="209">
        <v>237</v>
      </c>
      <c r="G25" s="348">
        <f t="shared" si="0"/>
        <v>237</v>
      </c>
      <c r="H25" s="355">
        <f>G25/G31</f>
        <v>1.1058230683090706E-2</v>
      </c>
    </row>
    <row r="26" spans="1:8" ht="15" customHeight="1">
      <c r="A26" s="455">
        <v>19</v>
      </c>
      <c r="B26" s="445" t="s">
        <v>92</v>
      </c>
      <c r="C26" s="435">
        <v>0</v>
      </c>
      <c r="D26" s="208">
        <v>0</v>
      </c>
      <c r="E26" s="209">
        <v>2</v>
      </c>
      <c r="F26" s="209">
        <v>491</v>
      </c>
      <c r="G26" s="348">
        <f t="shared" si="0"/>
        <v>493</v>
      </c>
      <c r="H26" s="355">
        <f>G26/G31</f>
        <v>2.3002986188876445E-2</v>
      </c>
    </row>
    <row r="27" spans="1:8" ht="35.25" customHeight="1">
      <c r="A27" s="456">
        <v>20</v>
      </c>
      <c r="B27" s="445" t="s">
        <v>93</v>
      </c>
      <c r="C27" s="435">
        <v>0</v>
      </c>
      <c r="D27" s="208">
        <v>0</v>
      </c>
      <c r="E27" s="209">
        <v>0</v>
      </c>
      <c r="F27" s="209">
        <v>35</v>
      </c>
      <c r="G27" s="351">
        <f t="shared" si="0"/>
        <v>35</v>
      </c>
      <c r="H27" s="355">
        <f>G27/G31</f>
        <v>1.6330720418066443E-3</v>
      </c>
    </row>
    <row r="28" spans="1:8" ht="15" customHeight="1">
      <c r="A28" s="455">
        <v>21</v>
      </c>
      <c r="B28" s="445" t="s">
        <v>94</v>
      </c>
      <c r="C28" s="435">
        <v>0</v>
      </c>
      <c r="D28" s="208">
        <v>0</v>
      </c>
      <c r="E28" s="209">
        <v>0</v>
      </c>
      <c r="F28" s="209">
        <f>18+1</f>
        <v>19</v>
      </c>
      <c r="G28" s="348">
        <f t="shared" si="0"/>
        <v>19</v>
      </c>
      <c r="H28" s="355">
        <f>G28/G31</f>
        <v>8.8652482269503544E-4</v>
      </c>
    </row>
    <row r="29" spans="1:8" ht="15" customHeight="1">
      <c r="A29" s="455">
        <v>22</v>
      </c>
      <c r="B29" s="446" t="s">
        <v>95</v>
      </c>
      <c r="C29" s="435">
        <v>0</v>
      </c>
      <c r="D29" s="208">
        <v>0</v>
      </c>
      <c r="E29" s="209">
        <v>4</v>
      </c>
      <c r="F29" s="209">
        <f>3036+12</f>
        <v>3048</v>
      </c>
      <c r="G29" s="348">
        <f t="shared" si="0"/>
        <v>3052</v>
      </c>
      <c r="H29" s="355">
        <f>G29/G31</f>
        <v>0.14240388204553939</v>
      </c>
    </row>
    <row r="30" spans="1:8" ht="15" customHeight="1" thickBot="1">
      <c r="A30" s="455">
        <v>23</v>
      </c>
      <c r="B30" s="447" t="s">
        <v>96</v>
      </c>
      <c r="C30" s="437">
        <v>0</v>
      </c>
      <c r="D30" s="213">
        <v>0</v>
      </c>
      <c r="E30" s="214">
        <v>0</v>
      </c>
      <c r="F30" s="214">
        <v>16</v>
      </c>
      <c r="G30" s="351">
        <f t="shared" si="0"/>
        <v>16</v>
      </c>
      <c r="H30" s="356">
        <f>G30/G31</f>
        <v>7.4654721911160881E-4</v>
      </c>
    </row>
    <row r="31" spans="1:8" ht="15" customHeight="1" thickBot="1">
      <c r="A31" s="457"/>
      <c r="B31" s="439" t="s">
        <v>6</v>
      </c>
      <c r="C31" s="438">
        <f>SUM(C8:C30)</f>
        <v>0</v>
      </c>
      <c r="D31" s="215">
        <f t="shared" ref="D31:H31" si="1">SUM(D8:D30)</f>
        <v>9</v>
      </c>
      <c r="E31" s="215">
        <f t="shared" si="1"/>
        <v>313</v>
      </c>
      <c r="F31" s="215">
        <f t="shared" si="1"/>
        <v>21110</v>
      </c>
      <c r="G31" s="216">
        <f t="shared" si="1"/>
        <v>21432</v>
      </c>
      <c r="H31" s="471">
        <f t="shared" si="1"/>
        <v>1.0000000000000002</v>
      </c>
    </row>
    <row r="32" spans="1:8">
      <c r="A32" s="229"/>
      <c r="B32" s="230"/>
      <c r="C32" s="231"/>
      <c r="D32" s="231"/>
      <c r="E32" s="231"/>
      <c r="F32" s="231"/>
      <c r="G32" s="231"/>
    </row>
    <row r="33" spans="1:6">
      <c r="A33" s="110" t="s">
        <v>141</v>
      </c>
      <c r="B33" s="110"/>
      <c r="F33" s="284" t="s">
        <v>15</v>
      </c>
    </row>
    <row r="34" spans="1:6">
      <c r="A34" s="608">
        <v>41935</v>
      </c>
      <c r="B34" s="608"/>
      <c r="F34" s="284" t="s">
        <v>97</v>
      </c>
    </row>
  </sheetData>
  <mergeCells count="8">
    <mergeCell ref="H6:H7"/>
    <mergeCell ref="A34:B34"/>
    <mergeCell ref="A3:G3"/>
    <mergeCell ref="A4:C4"/>
    <mergeCell ref="C5:G5"/>
    <mergeCell ref="C6:D6"/>
    <mergeCell ref="E6:F6"/>
    <mergeCell ref="G6:G7"/>
  </mergeCells>
  <pageMargins left="0.11811023622047245" right="0.11811023622047245" top="0.35433070866141736" bottom="0.1574803149606299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H33"/>
  <sheetViews>
    <sheetView topLeftCell="A2" zoomScaleNormal="100" workbookViewId="0">
      <selection activeCell="E9" sqref="E9"/>
    </sheetView>
  </sheetViews>
  <sheetFormatPr defaultRowHeight="12.75"/>
  <cols>
    <col min="1" max="1" width="5.42578125" customWidth="1"/>
    <col min="2" max="2" width="60.85546875" customWidth="1"/>
    <col min="3" max="7" width="12.7109375" customWidth="1"/>
    <col min="8" max="8" width="12.85546875" customWidth="1"/>
  </cols>
  <sheetData>
    <row r="1" spans="1:8">
      <c r="A1" s="426" t="s">
        <v>120</v>
      </c>
      <c r="B1" s="48"/>
    </row>
    <row r="2" spans="1:8" ht="26.25" customHeight="1">
      <c r="A2" s="619" t="s">
        <v>143</v>
      </c>
      <c r="B2" s="619"/>
      <c r="C2" s="619"/>
      <c r="D2" s="619"/>
      <c r="E2" s="619"/>
      <c r="F2" s="619"/>
      <c r="G2" s="619"/>
    </row>
    <row r="3" spans="1:8" ht="11.25" customHeight="1" thickBot="1">
      <c r="A3" s="568"/>
      <c r="B3" s="568"/>
      <c r="C3" s="568"/>
    </row>
    <row r="4" spans="1:8" ht="14.25" customHeight="1">
      <c r="A4" s="451"/>
      <c r="B4" s="440"/>
      <c r="C4" s="584" t="s">
        <v>66</v>
      </c>
      <c r="D4" s="585"/>
      <c r="E4" s="585"/>
      <c r="F4" s="585"/>
      <c r="G4" s="585"/>
      <c r="H4" s="601"/>
    </row>
    <row r="5" spans="1:8" ht="13.5" customHeight="1">
      <c r="A5" s="452" t="s">
        <v>67</v>
      </c>
      <c r="B5" s="441" t="s">
        <v>68</v>
      </c>
      <c r="C5" s="576" t="s">
        <v>69</v>
      </c>
      <c r="D5" s="587"/>
      <c r="E5" s="588" t="s">
        <v>70</v>
      </c>
      <c r="F5" s="588"/>
      <c r="G5" s="615" t="s">
        <v>6</v>
      </c>
      <c r="H5" s="617" t="s">
        <v>123</v>
      </c>
    </row>
    <row r="6" spans="1:8" ht="24" customHeight="1" thickBot="1">
      <c r="A6" s="442"/>
      <c r="B6" s="442"/>
      <c r="C6" s="465" t="s">
        <v>71</v>
      </c>
      <c r="D6" s="350" t="s">
        <v>72</v>
      </c>
      <c r="E6" s="350" t="s">
        <v>72</v>
      </c>
      <c r="F6" s="350" t="s">
        <v>73</v>
      </c>
      <c r="G6" s="616"/>
      <c r="H6" s="618"/>
    </row>
    <row r="7" spans="1:8" ht="14.25" customHeight="1">
      <c r="A7" s="454">
        <v>1</v>
      </c>
      <c r="B7" s="443" t="s">
        <v>74</v>
      </c>
      <c r="C7" s="434">
        <v>0</v>
      </c>
      <c r="D7" s="268">
        <v>0</v>
      </c>
      <c r="E7" s="294">
        <v>0</v>
      </c>
      <c r="F7" s="294">
        <v>135</v>
      </c>
      <c r="G7" s="265">
        <f>SUM(C7+D7+E7+F7)</f>
        <v>135</v>
      </c>
      <c r="H7" s="354">
        <f>G7/G30</f>
        <v>6.2790697674418609E-3</v>
      </c>
    </row>
    <row r="8" spans="1:8" ht="14.25" customHeight="1">
      <c r="A8" s="455">
        <v>2</v>
      </c>
      <c r="B8" s="444" t="s">
        <v>75</v>
      </c>
      <c r="C8" s="435">
        <v>0</v>
      </c>
      <c r="D8" s="208">
        <v>0</v>
      </c>
      <c r="E8" s="209">
        <v>0</v>
      </c>
      <c r="F8" s="209">
        <v>27</v>
      </c>
      <c r="G8" s="348">
        <f>SUM(C8+D8+E8+F8)</f>
        <v>27</v>
      </c>
      <c r="H8" s="355">
        <f>G8/G30</f>
        <v>1.2558139534883722E-3</v>
      </c>
    </row>
    <row r="9" spans="1:8" ht="12.75" customHeight="1">
      <c r="A9" s="455">
        <v>3</v>
      </c>
      <c r="B9" s="444" t="s">
        <v>76</v>
      </c>
      <c r="C9" s="435">
        <v>0</v>
      </c>
      <c r="D9" s="208">
        <v>0</v>
      </c>
      <c r="E9" s="209">
        <v>1</v>
      </c>
      <c r="F9" s="209">
        <f>1707+3</f>
        <v>1710</v>
      </c>
      <c r="G9" s="348">
        <f>SUM(C9+D9+E9+F9)</f>
        <v>1711</v>
      </c>
      <c r="H9" s="355">
        <f>G9/G30</f>
        <v>7.9581395348837208E-2</v>
      </c>
    </row>
    <row r="10" spans="1:8" ht="15" customHeight="1">
      <c r="A10" s="455">
        <v>4</v>
      </c>
      <c r="B10" s="444" t="s">
        <v>77</v>
      </c>
      <c r="C10" s="436">
        <v>0</v>
      </c>
      <c r="D10" s="211">
        <v>0</v>
      </c>
      <c r="E10" s="212">
        <v>0</v>
      </c>
      <c r="F10" s="193">
        <v>34</v>
      </c>
      <c r="G10" s="349">
        <f t="shared" ref="G10:G29" si="0">SUM(C10+D10+E10+F10)</f>
        <v>34</v>
      </c>
      <c r="H10" s="355">
        <f>G10/G30</f>
        <v>1.5813953488372093E-3</v>
      </c>
    </row>
    <row r="11" spans="1:8" ht="24" customHeight="1">
      <c r="A11" s="455">
        <v>5</v>
      </c>
      <c r="B11" s="444" t="s">
        <v>78</v>
      </c>
      <c r="C11" s="435">
        <v>0</v>
      </c>
      <c r="D11" s="208">
        <v>0</v>
      </c>
      <c r="E11" s="209">
        <v>0</v>
      </c>
      <c r="F11" s="209">
        <v>13</v>
      </c>
      <c r="G11" s="349">
        <f t="shared" si="0"/>
        <v>13</v>
      </c>
      <c r="H11" s="355">
        <f>G11/G30</f>
        <v>6.0465116279069769E-4</v>
      </c>
    </row>
    <row r="12" spans="1:8" ht="12.75" customHeight="1">
      <c r="A12" s="455">
        <v>6</v>
      </c>
      <c r="B12" s="444" t="s">
        <v>79</v>
      </c>
      <c r="C12" s="436">
        <v>0</v>
      </c>
      <c r="D12" s="189">
        <v>2</v>
      </c>
      <c r="E12" s="193">
        <v>14</v>
      </c>
      <c r="F12" s="193">
        <f>2427+2</f>
        <v>2429</v>
      </c>
      <c r="G12" s="349">
        <f t="shared" si="0"/>
        <v>2445</v>
      </c>
      <c r="H12" s="355">
        <f>G12/G30</f>
        <v>0.11372093023255814</v>
      </c>
    </row>
    <row r="13" spans="1:8" ht="24" customHeight="1">
      <c r="A13" s="455">
        <v>7</v>
      </c>
      <c r="B13" s="444" t="s">
        <v>80</v>
      </c>
      <c r="C13" s="436">
        <v>0</v>
      </c>
      <c r="D13" s="189">
        <v>6</v>
      </c>
      <c r="E13" s="193">
        <v>2</v>
      </c>
      <c r="F13" s="193">
        <f>3249+3</f>
        <v>3252</v>
      </c>
      <c r="G13" s="349">
        <f t="shared" si="0"/>
        <v>3260</v>
      </c>
      <c r="H13" s="355">
        <f>G13/G30</f>
        <v>0.15162790697674419</v>
      </c>
    </row>
    <row r="14" spans="1:8" ht="14.25" customHeight="1">
      <c r="A14" s="455">
        <v>8</v>
      </c>
      <c r="B14" s="444" t="s">
        <v>81</v>
      </c>
      <c r="C14" s="436">
        <v>0</v>
      </c>
      <c r="D14" s="189">
        <v>0</v>
      </c>
      <c r="E14" s="189">
        <v>0</v>
      </c>
      <c r="F14" s="193">
        <v>691</v>
      </c>
      <c r="G14" s="349">
        <f t="shared" si="0"/>
        <v>691</v>
      </c>
      <c r="H14" s="355">
        <f>G14/G30</f>
        <v>3.2139534883720927E-2</v>
      </c>
    </row>
    <row r="15" spans="1:8" ht="24" customHeight="1">
      <c r="A15" s="455">
        <v>9</v>
      </c>
      <c r="B15" s="444" t="s">
        <v>82</v>
      </c>
      <c r="C15" s="435">
        <v>0</v>
      </c>
      <c r="D15" s="208">
        <v>1</v>
      </c>
      <c r="E15" s="189">
        <v>375</v>
      </c>
      <c r="F15" s="209">
        <f>1420+1</f>
        <v>1421</v>
      </c>
      <c r="G15" s="349">
        <f t="shared" si="0"/>
        <v>1797</v>
      </c>
      <c r="H15" s="355">
        <f>G15/G30</f>
        <v>8.3581395348837212E-2</v>
      </c>
    </row>
    <row r="16" spans="1:8" ht="15" customHeight="1">
      <c r="A16" s="455">
        <v>10</v>
      </c>
      <c r="B16" s="444" t="s">
        <v>83</v>
      </c>
      <c r="C16" s="435">
        <v>0</v>
      </c>
      <c r="D16" s="208">
        <v>0</v>
      </c>
      <c r="E16" s="209">
        <v>1</v>
      </c>
      <c r="F16" s="209">
        <v>437</v>
      </c>
      <c r="G16" s="348">
        <f t="shared" si="0"/>
        <v>438</v>
      </c>
      <c r="H16" s="355">
        <f>G16/G30</f>
        <v>2.0372093023255815E-2</v>
      </c>
    </row>
    <row r="17" spans="1:8" ht="15" customHeight="1">
      <c r="A17" s="455">
        <v>11</v>
      </c>
      <c r="B17" s="444" t="s">
        <v>84</v>
      </c>
      <c r="C17" s="435">
        <v>0</v>
      </c>
      <c r="D17" s="208">
        <v>0</v>
      </c>
      <c r="E17" s="209">
        <v>0</v>
      </c>
      <c r="F17" s="193">
        <v>1391</v>
      </c>
      <c r="G17" s="349">
        <f t="shared" si="0"/>
        <v>1391</v>
      </c>
      <c r="H17" s="355">
        <f>G17/G30</f>
        <v>6.4697674418604648E-2</v>
      </c>
    </row>
    <row r="18" spans="1:8" ht="15" customHeight="1">
      <c r="A18" s="455">
        <v>12</v>
      </c>
      <c r="B18" s="444" t="s">
        <v>85</v>
      </c>
      <c r="C18" s="435">
        <v>0</v>
      </c>
      <c r="D18" s="208">
        <v>0</v>
      </c>
      <c r="E18" s="209">
        <v>7</v>
      </c>
      <c r="F18" s="209">
        <v>89</v>
      </c>
      <c r="G18" s="348">
        <f t="shared" si="0"/>
        <v>96</v>
      </c>
      <c r="H18" s="355">
        <f>G18/G30</f>
        <v>4.4651162790697672E-3</v>
      </c>
    </row>
    <row r="19" spans="1:8" ht="15" customHeight="1">
      <c r="A19" s="455">
        <v>13</v>
      </c>
      <c r="B19" s="444" t="s">
        <v>86</v>
      </c>
      <c r="C19" s="435">
        <v>0</v>
      </c>
      <c r="D19" s="208">
        <v>0</v>
      </c>
      <c r="E19" s="209">
        <v>0</v>
      </c>
      <c r="F19" s="209">
        <v>734</v>
      </c>
      <c r="G19" s="348">
        <f t="shared" si="0"/>
        <v>734</v>
      </c>
      <c r="H19" s="355">
        <f>G19/G30</f>
        <v>3.4139534883720929E-2</v>
      </c>
    </row>
    <row r="20" spans="1:8" ht="14.25" customHeight="1">
      <c r="A20" s="455">
        <v>14</v>
      </c>
      <c r="B20" s="444" t="s">
        <v>87</v>
      </c>
      <c r="C20" s="435">
        <v>0</v>
      </c>
      <c r="D20" s="208">
        <v>0</v>
      </c>
      <c r="E20" s="209">
        <v>2</v>
      </c>
      <c r="F20" s="209">
        <f>366+1</f>
        <v>367</v>
      </c>
      <c r="G20" s="348">
        <f t="shared" si="0"/>
        <v>369</v>
      </c>
      <c r="H20" s="355">
        <f>G20/G30</f>
        <v>1.7162790697674419E-2</v>
      </c>
    </row>
    <row r="21" spans="1:8" ht="13.5" customHeight="1">
      <c r="A21" s="456">
        <v>15</v>
      </c>
      <c r="B21" s="444" t="s">
        <v>88</v>
      </c>
      <c r="C21" s="435">
        <v>0</v>
      </c>
      <c r="D21" s="208">
        <v>0</v>
      </c>
      <c r="E21" s="209">
        <v>0</v>
      </c>
      <c r="F21" s="209">
        <v>1989</v>
      </c>
      <c r="G21" s="348">
        <f t="shared" si="0"/>
        <v>1989</v>
      </c>
      <c r="H21" s="355">
        <f>G21/G30</f>
        <v>9.2511627906976743E-2</v>
      </c>
    </row>
    <row r="22" spans="1:8" ht="15" customHeight="1">
      <c r="A22" s="455">
        <v>16</v>
      </c>
      <c r="B22" s="444" t="s">
        <v>89</v>
      </c>
      <c r="C22" s="435">
        <v>0</v>
      </c>
      <c r="D22" s="208">
        <v>0</v>
      </c>
      <c r="E22" s="209">
        <v>0</v>
      </c>
      <c r="F22" s="209">
        <f>2195+3</f>
        <v>2198</v>
      </c>
      <c r="G22" s="349">
        <f t="shared" si="0"/>
        <v>2198</v>
      </c>
      <c r="H22" s="355">
        <f>G22/G30</f>
        <v>0.10223255813953488</v>
      </c>
    </row>
    <row r="23" spans="1:8" ht="24" customHeight="1">
      <c r="A23" s="456">
        <v>17</v>
      </c>
      <c r="B23" s="444" t="s">
        <v>90</v>
      </c>
      <c r="C23" s="435">
        <v>0</v>
      </c>
      <c r="D23" s="208">
        <v>0</v>
      </c>
      <c r="E23" s="209">
        <v>0</v>
      </c>
      <c r="F23" s="209">
        <f>314+1</f>
        <v>315</v>
      </c>
      <c r="G23" s="348">
        <f t="shared" si="0"/>
        <v>315</v>
      </c>
      <c r="H23" s="355">
        <f>G23/G30</f>
        <v>1.4651162790697675E-2</v>
      </c>
    </row>
    <row r="24" spans="1:8" ht="17.25" customHeight="1">
      <c r="A24" s="455">
        <v>18</v>
      </c>
      <c r="B24" s="445" t="s">
        <v>91</v>
      </c>
      <c r="C24" s="435">
        <v>0</v>
      </c>
      <c r="D24" s="208">
        <v>0</v>
      </c>
      <c r="E24" s="209">
        <v>0</v>
      </c>
      <c r="F24" s="209">
        <v>236</v>
      </c>
      <c r="G24" s="348">
        <f t="shared" si="0"/>
        <v>236</v>
      </c>
      <c r="H24" s="355">
        <f>G24/G30</f>
        <v>1.0976744186046512E-2</v>
      </c>
    </row>
    <row r="25" spans="1:8" ht="15.75" customHeight="1">
      <c r="A25" s="455">
        <v>19</v>
      </c>
      <c r="B25" s="445" t="s">
        <v>92</v>
      </c>
      <c r="C25" s="435">
        <v>0</v>
      </c>
      <c r="D25" s="208">
        <v>0</v>
      </c>
      <c r="E25" s="209">
        <v>3</v>
      </c>
      <c r="F25" s="209">
        <v>492</v>
      </c>
      <c r="G25" s="348">
        <f t="shared" si="0"/>
        <v>495</v>
      </c>
      <c r="H25" s="355">
        <f>G25/G30</f>
        <v>2.3023255813953487E-2</v>
      </c>
    </row>
    <row r="26" spans="1:8" ht="24" customHeight="1">
      <c r="A26" s="456">
        <v>20</v>
      </c>
      <c r="B26" s="445" t="s">
        <v>93</v>
      </c>
      <c r="C26" s="435">
        <v>0</v>
      </c>
      <c r="D26" s="208">
        <v>0</v>
      </c>
      <c r="E26" s="209">
        <v>0</v>
      </c>
      <c r="F26" s="209">
        <v>38</v>
      </c>
      <c r="G26" s="351">
        <f t="shared" si="0"/>
        <v>38</v>
      </c>
      <c r="H26" s="355">
        <f>G26/G30</f>
        <v>1.7674418604651163E-3</v>
      </c>
    </row>
    <row r="27" spans="1:8" ht="16.5" customHeight="1">
      <c r="A27" s="455">
        <v>21</v>
      </c>
      <c r="B27" s="445" t="s">
        <v>94</v>
      </c>
      <c r="C27" s="435">
        <v>0</v>
      </c>
      <c r="D27" s="208">
        <v>0</v>
      </c>
      <c r="E27" s="209">
        <v>0</v>
      </c>
      <c r="F27" s="209">
        <f>16+1</f>
        <v>17</v>
      </c>
      <c r="G27" s="348">
        <f t="shared" si="0"/>
        <v>17</v>
      </c>
      <c r="H27" s="355">
        <f>G27/G30</f>
        <v>7.9069767441860466E-4</v>
      </c>
    </row>
    <row r="28" spans="1:8" ht="14.25" customHeight="1">
      <c r="A28" s="455">
        <v>22</v>
      </c>
      <c r="B28" s="446" t="s">
        <v>95</v>
      </c>
      <c r="C28" s="435">
        <v>0</v>
      </c>
      <c r="D28" s="208">
        <v>0</v>
      </c>
      <c r="E28" s="209">
        <v>5</v>
      </c>
      <c r="F28" s="209">
        <f>3051+10</f>
        <v>3061</v>
      </c>
      <c r="G28" s="348">
        <f t="shared" si="0"/>
        <v>3066</v>
      </c>
      <c r="H28" s="355">
        <f>G28/G30</f>
        <v>0.1426046511627907</v>
      </c>
    </row>
    <row r="29" spans="1:8" ht="15" customHeight="1" thickBot="1">
      <c r="A29" s="455">
        <v>23</v>
      </c>
      <c r="B29" s="447" t="s">
        <v>96</v>
      </c>
      <c r="C29" s="437">
        <v>0</v>
      </c>
      <c r="D29" s="213">
        <v>0</v>
      </c>
      <c r="E29" s="214">
        <v>0</v>
      </c>
      <c r="F29" s="214">
        <v>5</v>
      </c>
      <c r="G29" s="351">
        <f t="shared" si="0"/>
        <v>5</v>
      </c>
      <c r="H29" s="472">
        <f>G29/G30</f>
        <v>2.3255813953488373E-4</v>
      </c>
    </row>
    <row r="30" spans="1:8" ht="24" customHeight="1" thickBot="1">
      <c r="A30" s="457"/>
      <c r="B30" s="439" t="s">
        <v>6</v>
      </c>
      <c r="C30" s="438">
        <f t="shared" ref="C30:H30" si="1">SUM(C7:C29)</f>
        <v>0</v>
      </c>
      <c r="D30" s="215">
        <f t="shared" si="1"/>
        <v>9</v>
      </c>
      <c r="E30" s="215">
        <f t="shared" si="1"/>
        <v>410</v>
      </c>
      <c r="F30" s="215">
        <f t="shared" si="1"/>
        <v>21081</v>
      </c>
      <c r="G30" s="216">
        <f t="shared" si="1"/>
        <v>21500</v>
      </c>
      <c r="H30" s="474">
        <f t="shared" si="1"/>
        <v>1</v>
      </c>
    </row>
    <row r="31" spans="1:8">
      <c r="A31" s="229"/>
      <c r="B31" s="230"/>
      <c r="C31" s="231"/>
      <c r="D31" s="231"/>
      <c r="E31" s="231"/>
      <c r="F31" s="231"/>
      <c r="G31" s="231"/>
    </row>
    <row r="32" spans="1:8">
      <c r="A32" s="110" t="s">
        <v>141</v>
      </c>
      <c r="B32" s="110"/>
      <c r="F32" s="284" t="s">
        <v>15</v>
      </c>
    </row>
    <row r="33" spans="1:6">
      <c r="A33" s="608">
        <v>41989</v>
      </c>
      <c r="B33" s="608"/>
      <c r="F33" s="284" t="s">
        <v>97</v>
      </c>
    </row>
  </sheetData>
  <mergeCells count="8">
    <mergeCell ref="H5:H6"/>
    <mergeCell ref="C4:H4"/>
    <mergeCell ref="A33:B33"/>
    <mergeCell ref="A2:G2"/>
    <mergeCell ref="A3:C3"/>
    <mergeCell ref="C5:D5"/>
    <mergeCell ref="E5:F5"/>
    <mergeCell ref="G5:G6"/>
  </mergeCells>
  <pageMargins left="0.70866141732283472" right="0.70866141732283472" top="0.35433070866141736" bottom="0.15748031496062992" header="0.31496062992125984" footer="0.31496062992125984"/>
  <pageSetup paperSize="9" scale="93" orientation="landscape" r:id="rId1"/>
</worksheet>
</file>

<file path=xl/worksheets/sheet16.xml><?xml version="1.0" encoding="utf-8"?>
<worksheet xmlns="http://schemas.openxmlformats.org/spreadsheetml/2006/main" xmlns:r="http://schemas.openxmlformats.org/officeDocument/2006/relationships">
  <dimension ref="A1:H34"/>
  <sheetViews>
    <sheetView workbookViewId="0">
      <selection activeCell="D9" sqref="D9"/>
    </sheetView>
  </sheetViews>
  <sheetFormatPr defaultRowHeight="12.75"/>
  <cols>
    <col min="1" max="1" width="5.42578125" customWidth="1"/>
    <col min="2" max="2" width="53.28515625" customWidth="1"/>
    <col min="3" max="7" width="12.7109375" customWidth="1"/>
    <col min="8" max="8" width="11.140625" customWidth="1"/>
  </cols>
  <sheetData>
    <row r="1" spans="1:8">
      <c r="A1" s="426" t="s">
        <v>121</v>
      </c>
      <c r="B1" s="48"/>
    </row>
    <row r="2" spans="1:8" ht="30.75" customHeight="1">
      <c r="A2" s="619" t="s">
        <v>144</v>
      </c>
      <c r="B2" s="619"/>
      <c r="C2" s="619"/>
      <c r="D2" s="619"/>
      <c r="E2" s="619"/>
      <c r="F2" s="619"/>
      <c r="G2" s="619"/>
    </row>
    <row r="3" spans="1:8" ht="11.25" customHeight="1" thickBot="1">
      <c r="A3" s="568"/>
      <c r="B3" s="568"/>
      <c r="C3" s="568"/>
    </row>
    <row r="4" spans="1:8" ht="14.25" customHeight="1">
      <c r="A4" s="451"/>
      <c r="B4" s="440"/>
      <c r="C4" s="584" t="s">
        <v>66</v>
      </c>
      <c r="D4" s="585"/>
      <c r="E4" s="585"/>
      <c r="F4" s="585"/>
      <c r="G4" s="585"/>
      <c r="H4" s="601"/>
    </row>
    <row r="5" spans="1:8" ht="13.5" customHeight="1">
      <c r="A5" s="452" t="s">
        <v>67</v>
      </c>
      <c r="B5" s="441" t="s">
        <v>68</v>
      </c>
      <c r="C5" s="576" t="s">
        <v>69</v>
      </c>
      <c r="D5" s="587"/>
      <c r="E5" s="588" t="s">
        <v>70</v>
      </c>
      <c r="F5" s="588"/>
      <c r="G5" s="615" t="s">
        <v>6</v>
      </c>
      <c r="H5" s="617" t="s">
        <v>123</v>
      </c>
    </row>
    <row r="6" spans="1:8" ht="24" customHeight="1" thickBot="1">
      <c r="A6" s="442"/>
      <c r="B6" s="442"/>
      <c r="C6" s="465" t="s">
        <v>71</v>
      </c>
      <c r="D6" s="350" t="s">
        <v>72</v>
      </c>
      <c r="E6" s="350" t="s">
        <v>72</v>
      </c>
      <c r="F6" s="350" t="s">
        <v>73</v>
      </c>
      <c r="G6" s="616"/>
      <c r="H6" s="618"/>
    </row>
    <row r="7" spans="1:8" ht="14.25" customHeight="1">
      <c r="A7" s="454">
        <v>1</v>
      </c>
      <c r="B7" s="443" t="s">
        <v>74</v>
      </c>
      <c r="C7" s="434">
        <v>0</v>
      </c>
      <c r="D7" s="268">
        <v>0</v>
      </c>
      <c r="E7" s="294">
        <v>0</v>
      </c>
      <c r="F7" s="294">
        <v>132</v>
      </c>
      <c r="G7" s="268">
        <f>SUM(C7+D7+E7+F7)</f>
        <v>132</v>
      </c>
      <c r="H7" s="464">
        <f>G7/G30</f>
        <v>7.3590901488543234E-3</v>
      </c>
    </row>
    <row r="8" spans="1:8" ht="14.25" customHeight="1">
      <c r="A8" s="455">
        <v>2</v>
      </c>
      <c r="B8" s="444" t="s">
        <v>75</v>
      </c>
      <c r="C8" s="435">
        <v>0</v>
      </c>
      <c r="D8" s="208">
        <v>0</v>
      </c>
      <c r="E8" s="209">
        <v>0</v>
      </c>
      <c r="F8" s="209">
        <v>26</v>
      </c>
      <c r="G8" s="208">
        <f>SUM(C8+D8+E8+F8)</f>
        <v>26</v>
      </c>
      <c r="H8" s="355">
        <f>G8/G30</f>
        <v>1.4495177565925182E-3</v>
      </c>
    </row>
    <row r="9" spans="1:8" ht="12.75" customHeight="1">
      <c r="A9" s="455">
        <v>3</v>
      </c>
      <c r="B9" s="444" t="s">
        <v>76</v>
      </c>
      <c r="C9" s="435">
        <v>9</v>
      </c>
      <c r="D9" s="208">
        <v>0</v>
      </c>
      <c r="E9" s="209">
        <v>1</v>
      </c>
      <c r="F9" s="209">
        <f>1660+3</f>
        <v>1663</v>
      </c>
      <c r="G9" s="208">
        <f t="shared" ref="G9:G29" si="0">SUM(C9+D9+E9+F9)</f>
        <v>1673</v>
      </c>
      <c r="H9" s="355">
        <f>G9/G30</f>
        <v>9.3270892568433961E-2</v>
      </c>
    </row>
    <row r="10" spans="1:8" ht="15" customHeight="1">
      <c r="A10" s="455">
        <v>4</v>
      </c>
      <c r="B10" s="444" t="s">
        <v>77</v>
      </c>
      <c r="C10" s="436">
        <v>0</v>
      </c>
      <c r="D10" s="211">
        <v>0</v>
      </c>
      <c r="E10" s="212">
        <v>0</v>
      </c>
      <c r="F10" s="193">
        <v>26</v>
      </c>
      <c r="G10" s="189">
        <f t="shared" si="0"/>
        <v>26</v>
      </c>
      <c r="H10" s="355">
        <f>G10/G30</f>
        <v>1.4495177565925182E-3</v>
      </c>
    </row>
    <row r="11" spans="1:8" ht="24" customHeight="1">
      <c r="A11" s="455">
        <v>5</v>
      </c>
      <c r="B11" s="444" t="s">
        <v>78</v>
      </c>
      <c r="C11" s="435">
        <v>0</v>
      </c>
      <c r="D11" s="208">
        <v>0</v>
      </c>
      <c r="E11" s="209">
        <v>0</v>
      </c>
      <c r="F11" s="209">
        <v>12</v>
      </c>
      <c r="G11" s="189">
        <f t="shared" si="0"/>
        <v>12</v>
      </c>
      <c r="H11" s="355">
        <f>G11/G30</f>
        <v>6.69008195350393E-4</v>
      </c>
    </row>
    <row r="12" spans="1:8" ht="12.75" customHeight="1">
      <c r="A12" s="455">
        <v>6</v>
      </c>
      <c r="B12" s="444" t="s">
        <v>79</v>
      </c>
      <c r="C12" s="436">
        <v>0</v>
      </c>
      <c r="D12" s="189">
        <v>2</v>
      </c>
      <c r="E12" s="193">
        <v>13</v>
      </c>
      <c r="F12" s="193">
        <f>2288+2</f>
        <v>2290</v>
      </c>
      <c r="G12" s="189">
        <f t="shared" si="0"/>
        <v>2305</v>
      </c>
      <c r="H12" s="355">
        <f>G12/G30</f>
        <v>0.12850532419022134</v>
      </c>
    </row>
    <row r="13" spans="1:8" ht="24" customHeight="1">
      <c r="A13" s="455">
        <v>7</v>
      </c>
      <c r="B13" s="444" t="s">
        <v>80</v>
      </c>
      <c r="C13" s="436">
        <v>0</v>
      </c>
      <c r="D13" s="189">
        <v>5</v>
      </c>
      <c r="E13" s="193">
        <v>4</v>
      </c>
      <c r="F13" s="193">
        <f>3183+1</f>
        <v>3184</v>
      </c>
      <c r="G13" s="189">
        <f t="shared" si="0"/>
        <v>3193</v>
      </c>
      <c r="H13" s="355">
        <f>G13/G30</f>
        <v>0.17801193064615042</v>
      </c>
    </row>
    <row r="14" spans="1:8" ht="14.25" customHeight="1">
      <c r="A14" s="455">
        <v>8</v>
      </c>
      <c r="B14" s="444" t="s">
        <v>81</v>
      </c>
      <c r="C14" s="436">
        <v>0</v>
      </c>
      <c r="D14" s="189">
        <v>0</v>
      </c>
      <c r="E14" s="189">
        <v>1</v>
      </c>
      <c r="F14" s="193">
        <v>600</v>
      </c>
      <c r="G14" s="189">
        <f t="shared" si="0"/>
        <v>601</v>
      </c>
      <c r="H14" s="355">
        <f>G14/G30</f>
        <v>3.3506160450465519E-2</v>
      </c>
    </row>
    <row r="15" spans="1:8" ht="24" customHeight="1">
      <c r="A15" s="455">
        <v>9</v>
      </c>
      <c r="B15" s="444" t="s">
        <v>82</v>
      </c>
      <c r="C15" s="435">
        <v>0</v>
      </c>
      <c r="D15" s="208">
        <v>2</v>
      </c>
      <c r="E15" s="189">
        <v>638</v>
      </c>
      <c r="F15" s="209">
        <f>1519+1</f>
        <v>1520</v>
      </c>
      <c r="G15" s="189">
        <f t="shared" si="0"/>
        <v>2160</v>
      </c>
      <c r="H15" s="355">
        <f>G15/G30</f>
        <v>0.12042147516307075</v>
      </c>
    </row>
    <row r="16" spans="1:8" ht="15" customHeight="1">
      <c r="A16" s="455">
        <v>10</v>
      </c>
      <c r="B16" s="444" t="s">
        <v>83</v>
      </c>
      <c r="C16" s="435">
        <v>0</v>
      </c>
      <c r="D16" s="208">
        <v>0</v>
      </c>
      <c r="E16" s="209">
        <v>1</v>
      </c>
      <c r="F16" s="209">
        <v>456</v>
      </c>
      <c r="G16" s="208">
        <f t="shared" si="0"/>
        <v>457</v>
      </c>
      <c r="H16" s="355">
        <f>G16/G30</f>
        <v>2.5478062106260801E-2</v>
      </c>
    </row>
    <row r="17" spans="1:8" ht="15" customHeight="1">
      <c r="A17" s="455">
        <v>11</v>
      </c>
      <c r="B17" s="444" t="s">
        <v>84</v>
      </c>
      <c r="C17" s="435">
        <v>0</v>
      </c>
      <c r="D17" s="208">
        <v>0</v>
      </c>
      <c r="E17" s="209">
        <v>0</v>
      </c>
      <c r="F17" s="193">
        <v>1031</v>
      </c>
      <c r="G17" s="189">
        <f t="shared" si="0"/>
        <v>1031</v>
      </c>
      <c r="H17" s="355">
        <f>G17/G30</f>
        <v>5.7478954117187939E-2</v>
      </c>
    </row>
    <row r="18" spans="1:8" ht="15" customHeight="1">
      <c r="A18" s="455">
        <v>12</v>
      </c>
      <c r="B18" s="444" t="s">
        <v>85</v>
      </c>
      <c r="C18" s="435">
        <v>0</v>
      </c>
      <c r="D18" s="208">
        <v>0</v>
      </c>
      <c r="E18" s="209">
        <v>8</v>
      </c>
      <c r="F18" s="209">
        <v>92</v>
      </c>
      <c r="G18" s="208">
        <f t="shared" si="0"/>
        <v>100</v>
      </c>
      <c r="H18" s="355">
        <f>G18/G30</f>
        <v>5.5750682945866084E-3</v>
      </c>
    </row>
    <row r="19" spans="1:8" ht="15" customHeight="1">
      <c r="A19" s="455">
        <v>13</v>
      </c>
      <c r="B19" s="444" t="s">
        <v>86</v>
      </c>
      <c r="C19" s="435">
        <v>0</v>
      </c>
      <c r="D19" s="208">
        <v>0</v>
      </c>
      <c r="E19" s="209">
        <v>0</v>
      </c>
      <c r="F19" s="209">
        <v>717</v>
      </c>
      <c r="G19" s="208">
        <f t="shared" si="0"/>
        <v>717</v>
      </c>
      <c r="H19" s="355">
        <f>G19/G30</f>
        <v>3.9973239672185981E-2</v>
      </c>
    </row>
    <row r="20" spans="1:8" ht="14.25" customHeight="1">
      <c r="A20" s="455">
        <v>14</v>
      </c>
      <c r="B20" s="444" t="s">
        <v>87</v>
      </c>
      <c r="C20" s="435">
        <v>0</v>
      </c>
      <c r="D20" s="208">
        <v>0</v>
      </c>
      <c r="E20" s="209">
        <v>3</v>
      </c>
      <c r="F20" s="209">
        <f>359+1</f>
        <v>360</v>
      </c>
      <c r="G20" s="208">
        <f t="shared" si="0"/>
        <v>363</v>
      </c>
      <c r="H20" s="355">
        <f>G20/G30</f>
        <v>2.0237497909349391E-2</v>
      </c>
    </row>
    <row r="21" spans="1:8" ht="13.5" customHeight="1">
      <c r="A21" s="456">
        <v>15</v>
      </c>
      <c r="B21" s="444" t="s">
        <v>88</v>
      </c>
      <c r="C21" s="435">
        <v>0</v>
      </c>
      <c r="D21" s="208">
        <v>0</v>
      </c>
      <c r="E21" s="209">
        <v>0</v>
      </c>
      <c r="F21" s="209">
        <v>986</v>
      </c>
      <c r="G21" s="208">
        <f t="shared" si="0"/>
        <v>986</v>
      </c>
      <c r="H21" s="355">
        <f>G21/G30</f>
        <v>5.4970173384623962E-2</v>
      </c>
    </row>
    <row r="22" spans="1:8" ht="15" customHeight="1">
      <c r="A22" s="455">
        <v>16</v>
      </c>
      <c r="B22" s="444" t="s">
        <v>89</v>
      </c>
      <c r="C22" s="435">
        <v>0</v>
      </c>
      <c r="D22" s="208">
        <v>0</v>
      </c>
      <c r="E22" s="209">
        <v>0</v>
      </c>
      <c r="F22" s="209">
        <f>586+2</f>
        <v>588</v>
      </c>
      <c r="G22" s="189">
        <f t="shared" si="0"/>
        <v>588</v>
      </c>
      <c r="H22" s="355">
        <f>G22/G30</f>
        <v>3.2781401572169258E-2</v>
      </c>
    </row>
    <row r="23" spans="1:8" ht="24" customHeight="1">
      <c r="A23" s="456">
        <v>17</v>
      </c>
      <c r="B23" s="444" t="s">
        <v>90</v>
      </c>
      <c r="C23" s="435">
        <v>0</v>
      </c>
      <c r="D23" s="208">
        <v>0</v>
      </c>
      <c r="E23" s="209">
        <v>0</v>
      </c>
      <c r="F23" s="209">
        <f>284+1</f>
        <v>285</v>
      </c>
      <c r="G23" s="208">
        <f t="shared" si="0"/>
        <v>285</v>
      </c>
      <c r="H23" s="355">
        <f>G23/G30</f>
        <v>1.5888944639571835E-2</v>
      </c>
    </row>
    <row r="24" spans="1:8" ht="17.25" customHeight="1">
      <c r="A24" s="455">
        <v>18</v>
      </c>
      <c r="B24" s="445" t="s">
        <v>91</v>
      </c>
      <c r="C24" s="435">
        <v>0</v>
      </c>
      <c r="D24" s="208">
        <v>0</v>
      </c>
      <c r="E24" s="209">
        <v>0</v>
      </c>
      <c r="F24" s="209">
        <v>231</v>
      </c>
      <c r="G24" s="208">
        <f t="shared" si="0"/>
        <v>231</v>
      </c>
      <c r="H24" s="355">
        <f>G24/G30</f>
        <v>1.2878407760495066E-2</v>
      </c>
    </row>
    <row r="25" spans="1:8" ht="15.75" customHeight="1">
      <c r="A25" s="455">
        <v>19</v>
      </c>
      <c r="B25" s="445" t="s">
        <v>92</v>
      </c>
      <c r="C25" s="435">
        <v>0</v>
      </c>
      <c r="D25" s="208">
        <v>0</v>
      </c>
      <c r="E25" s="209">
        <v>11</v>
      </c>
      <c r="F25" s="209">
        <v>314</v>
      </c>
      <c r="G25" s="208">
        <f t="shared" si="0"/>
        <v>325</v>
      </c>
      <c r="H25" s="355">
        <f>G25/G30</f>
        <v>1.8118971957406478E-2</v>
      </c>
    </row>
    <row r="26" spans="1:8" ht="24" customHeight="1">
      <c r="A26" s="456">
        <v>20</v>
      </c>
      <c r="B26" s="445" t="s">
        <v>93</v>
      </c>
      <c r="C26" s="435">
        <v>0</v>
      </c>
      <c r="D26" s="208">
        <v>0</v>
      </c>
      <c r="E26" s="209">
        <v>0</v>
      </c>
      <c r="F26" s="209">
        <v>33</v>
      </c>
      <c r="G26" s="213">
        <f t="shared" si="0"/>
        <v>33</v>
      </c>
      <c r="H26" s="355">
        <f>G26/G30</f>
        <v>1.8397725372135808E-3</v>
      </c>
    </row>
    <row r="27" spans="1:8" ht="16.5" customHeight="1">
      <c r="A27" s="455">
        <v>21</v>
      </c>
      <c r="B27" s="445" t="s">
        <v>94</v>
      </c>
      <c r="C27" s="435">
        <v>0</v>
      </c>
      <c r="D27" s="208">
        <v>0</v>
      </c>
      <c r="E27" s="209">
        <v>0</v>
      </c>
      <c r="F27" s="209">
        <v>15</v>
      </c>
      <c r="G27" s="208">
        <f t="shared" si="0"/>
        <v>15</v>
      </c>
      <c r="H27" s="355">
        <f>G27/G30</f>
        <v>8.3626024418799135E-4</v>
      </c>
    </row>
    <row r="28" spans="1:8" ht="14.25" customHeight="1">
      <c r="A28" s="455">
        <v>22</v>
      </c>
      <c r="B28" s="446" t="s">
        <v>95</v>
      </c>
      <c r="C28" s="435">
        <v>0</v>
      </c>
      <c r="D28" s="208">
        <v>0</v>
      </c>
      <c r="E28" s="209">
        <v>4</v>
      </c>
      <c r="F28" s="209">
        <f>2665+9</f>
        <v>2674</v>
      </c>
      <c r="G28" s="208">
        <f t="shared" si="0"/>
        <v>2678</v>
      </c>
      <c r="H28" s="355">
        <f>G28/G30</f>
        <v>0.14930032892902939</v>
      </c>
    </row>
    <row r="29" spans="1:8" ht="15" customHeight="1" thickBot="1">
      <c r="A29" s="457">
        <v>23</v>
      </c>
      <c r="B29" s="479" t="s">
        <v>96</v>
      </c>
      <c r="C29" s="475">
        <v>0</v>
      </c>
      <c r="D29" s="300">
        <v>0</v>
      </c>
      <c r="E29" s="341">
        <v>0</v>
      </c>
      <c r="F29" s="341">
        <v>0</v>
      </c>
      <c r="G29" s="300">
        <f t="shared" si="0"/>
        <v>0</v>
      </c>
      <c r="H29" s="472">
        <f>G29/G30</f>
        <v>0</v>
      </c>
    </row>
    <row r="30" spans="1:8" ht="24" customHeight="1" thickBot="1">
      <c r="A30" s="620" t="s">
        <v>6</v>
      </c>
      <c r="B30" s="620"/>
      <c r="C30" s="476">
        <f t="shared" ref="C30:H30" si="1">SUM(C7:C29)</f>
        <v>9</v>
      </c>
      <c r="D30" s="476">
        <f t="shared" si="1"/>
        <v>9</v>
      </c>
      <c r="E30" s="339">
        <f t="shared" si="1"/>
        <v>684</v>
      </c>
      <c r="F30" s="339">
        <f t="shared" si="1"/>
        <v>17235</v>
      </c>
      <c r="G30" s="340">
        <f t="shared" si="1"/>
        <v>17937</v>
      </c>
      <c r="H30" s="474">
        <f t="shared" si="1"/>
        <v>1.0000000000000002</v>
      </c>
    </row>
    <row r="31" spans="1:8">
      <c r="A31" s="229"/>
      <c r="B31" s="230"/>
      <c r="C31" s="231"/>
      <c r="D31" s="231"/>
      <c r="E31" s="231"/>
      <c r="F31" s="231"/>
      <c r="G31" s="231"/>
    </row>
    <row r="32" spans="1:8">
      <c r="A32" s="110"/>
      <c r="B32" s="110"/>
      <c r="F32" s="284" t="s">
        <v>15</v>
      </c>
    </row>
    <row r="33" spans="1:6">
      <c r="A33" s="614">
        <v>41990</v>
      </c>
      <c r="B33" s="614"/>
      <c r="F33" s="284" t="s">
        <v>97</v>
      </c>
    </row>
    <row r="34" spans="1:6">
      <c r="B34" s="342"/>
    </row>
  </sheetData>
  <mergeCells count="9">
    <mergeCell ref="H5:H6"/>
    <mergeCell ref="C4:H4"/>
    <mergeCell ref="A33:B33"/>
    <mergeCell ref="A30:B30"/>
    <mergeCell ref="A2:G2"/>
    <mergeCell ref="A3:C3"/>
    <mergeCell ref="C5:D5"/>
    <mergeCell ref="E5:F5"/>
    <mergeCell ref="G5:G6"/>
  </mergeCells>
  <pageMargins left="0.70866141732283472" right="0.70866141732283472" top="0.35433070866141736" bottom="0.1574803149606299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H34"/>
  <sheetViews>
    <sheetView topLeftCell="A16" workbookViewId="0">
      <selection activeCell="G30" sqref="G30"/>
    </sheetView>
  </sheetViews>
  <sheetFormatPr defaultRowHeight="12.75"/>
  <cols>
    <col min="1" max="1" width="5.42578125" customWidth="1"/>
    <col min="2" max="2" width="53.42578125" customWidth="1"/>
    <col min="3" max="7" width="12.7109375" customWidth="1"/>
    <col min="8" max="8" width="12.28515625" customWidth="1"/>
  </cols>
  <sheetData>
    <row r="1" spans="1:8">
      <c r="A1" s="426" t="s">
        <v>122</v>
      </c>
      <c r="B1" s="48"/>
    </row>
    <row r="2" spans="1:8" ht="30.75" customHeight="1">
      <c r="A2" s="619" t="s">
        <v>145</v>
      </c>
      <c r="B2" s="619"/>
      <c r="C2" s="619"/>
      <c r="D2" s="619"/>
      <c r="E2" s="619"/>
      <c r="F2" s="619"/>
      <c r="G2" s="619"/>
    </row>
    <row r="3" spans="1:8" ht="11.25" customHeight="1" thickBot="1">
      <c r="A3" s="568"/>
      <c r="B3" s="568"/>
      <c r="C3" s="568"/>
    </row>
    <row r="4" spans="1:8" ht="14.25" customHeight="1">
      <c r="A4" s="451"/>
      <c r="B4" s="440"/>
      <c r="C4" s="584" t="s">
        <v>66</v>
      </c>
      <c r="D4" s="585"/>
      <c r="E4" s="585"/>
      <c r="F4" s="585"/>
      <c r="G4" s="585"/>
      <c r="H4" s="601"/>
    </row>
    <row r="5" spans="1:8" ht="13.5" customHeight="1">
      <c r="A5" s="452" t="s">
        <v>67</v>
      </c>
      <c r="B5" s="441" t="s">
        <v>68</v>
      </c>
      <c r="C5" s="576" t="s">
        <v>69</v>
      </c>
      <c r="D5" s="587"/>
      <c r="E5" s="588" t="s">
        <v>70</v>
      </c>
      <c r="F5" s="588"/>
      <c r="G5" s="615" t="s">
        <v>6</v>
      </c>
      <c r="H5" s="617" t="s">
        <v>123</v>
      </c>
    </row>
    <row r="6" spans="1:8" ht="24" customHeight="1" thickBot="1">
      <c r="A6" s="448"/>
      <c r="B6" s="442"/>
      <c r="C6" s="465" t="s">
        <v>71</v>
      </c>
      <c r="D6" s="350" t="s">
        <v>72</v>
      </c>
      <c r="E6" s="350" t="s">
        <v>72</v>
      </c>
      <c r="F6" s="350" t="s">
        <v>73</v>
      </c>
      <c r="G6" s="616"/>
      <c r="H6" s="618"/>
    </row>
    <row r="7" spans="1:8" ht="14.25" customHeight="1">
      <c r="A7" s="477">
        <v>1</v>
      </c>
      <c r="B7" s="443" t="s">
        <v>74</v>
      </c>
      <c r="C7" s="434">
        <v>0</v>
      </c>
      <c r="D7" s="268">
        <v>0</v>
      </c>
      <c r="E7" s="294">
        <v>0</v>
      </c>
      <c r="F7" s="294">
        <v>114</v>
      </c>
      <c r="G7" s="265">
        <f>SUM(C7+D7+E7+F7)</f>
        <v>114</v>
      </c>
      <c r="H7" s="354">
        <f>G7/G30</f>
        <v>4.4162082590842181E-3</v>
      </c>
    </row>
    <row r="8" spans="1:8" ht="14.25" customHeight="1">
      <c r="A8" s="455">
        <v>2</v>
      </c>
      <c r="B8" s="444" t="s">
        <v>75</v>
      </c>
      <c r="C8" s="435">
        <v>0</v>
      </c>
      <c r="D8" s="208">
        <v>0</v>
      </c>
      <c r="E8" s="209">
        <v>0</v>
      </c>
      <c r="F8" s="209">
        <v>25</v>
      </c>
      <c r="G8" s="348">
        <f>SUM(C8+D8+E8+F8)</f>
        <v>25</v>
      </c>
      <c r="H8" s="355">
        <f>G8/G30</f>
        <v>9.6846672348338114E-4</v>
      </c>
    </row>
    <row r="9" spans="1:8" ht="12.75" customHeight="1">
      <c r="A9" s="455">
        <v>3</v>
      </c>
      <c r="B9" s="444" t="s">
        <v>76</v>
      </c>
      <c r="C9" s="435">
        <v>43</v>
      </c>
      <c r="D9" s="208">
        <v>0</v>
      </c>
      <c r="E9" s="209">
        <v>2</v>
      </c>
      <c r="F9" s="209">
        <f>1671+1</f>
        <v>1672</v>
      </c>
      <c r="G9" s="348">
        <f t="shared" ref="G9:G29" si="0">SUM(C9+D9+E9+F9)</f>
        <v>1717</v>
      </c>
      <c r="H9" s="355">
        <f>G9/G30</f>
        <v>6.6514294568838617E-2</v>
      </c>
    </row>
    <row r="10" spans="1:8" ht="15" customHeight="1">
      <c r="A10" s="455">
        <v>4</v>
      </c>
      <c r="B10" s="444" t="s">
        <v>77</v>
      </c>
      <c r="C10" s="436">
        <v>0</v>
      </c>
      <c r="D10" s="211">
        <v>0</v>
      </c>
      <c r="E10" s="212">
        <v>0</v>
      </c>
      <c r="F10" s="193">
        <v>25</v>
      </c>
      <c r="G10" s="349">
        <f t="shared" si="0"/>
        <v>25</v>
      </c>
      <c r="H10" s="355">
        <f>G10/G30</f>
        <v>9.6846672348338114E-4</v>
      </c>
    </row>
    <row r="11" spans="1:8" ht="24" customHeight="1">
      <c r="A11" s="455">
        <v>5</v>
      </c>
      <c r="B11" s="444" t="s">
        <v>78</v>
      </c>
      <c r="C11" s="435">
        <v>0</v>
      </c>
      <c r="D11" s="208">
        <v>0</v>
      </c>
      <c r="E11" s="209">
        <v>0</v>
      </c>
      <c r="F11" s="209">
        <v>13</v>
      </c>
      <c r="G11" s="349">
        <f t="shared" si="0"/>
        <v>13</v>
      </c>
      <c r="H11" s="355">
        <f>G11/G30</f>
        <v>5.0360269621135823E-4</v>
      </c>
    </row>
    <row r="12" spans="1:8" ht="12.75" customHeight="1">
      <c r="A12" s="455">
        <v>6</v>
      </c>
      <c r="B12" s="444" t="s">
        <v>79</v>
      </c>
      <c r="C12" s="436">
        <v>0</v>
      </c>
      <c r="D12" s="189">
        <v>3</v>
      </c>
      <c r="E12" s="193">
        <v>15</v>
      </c>
      <c r="F12" s="193">
        <f>2197+2</f>
        <v>2199</v>
      </c>
      <c r="G12" s="349">
        <f t="shared" si="0"/>
        <v>2217</v>
      </c>
      <c r="H12" s="355">
        <f>G12/G30</f>
        <v>8.5883629038506243E-2</v>
      </c>
    </row>
    <row r="13" spans="1:8" ht="24" customHeight="1">
      <c r="A13" s="455">
        <v>7</v>
      </c>
      <c r="B13" s="444" t="s">
        <v>80</v>
      </c>
      <c r="C13" s="436">
        <v>0</v>
      </c>
      <c r="D13" s="189">
        <v>170</v>
      </c>
      <c r="E13" s="193">
        <v>27</v>
      </c>
      <c r="F13" s="193">
        <f>3526+1</f>
        <v>3527</v>
      </c>
      <c r="G13" s="349">
        <f t="shared" si="0"/>
        <v>3724</v>
      </c>
      <c r="H13" s="355">
        <f>G13/G30</f>
        <v>0.14426280313008444</v>
      </c>
    </row>
    <row r="14" spans="1:8" ht="14.25" customHeight="1">
      <c r="A14" s="455">
        <v>8</v>
      </c>
      <c r="B14" s="444" t="s">
        <v>81</v>
      </c>
      <c r="C14" s="436">
        <v>0</v>
      </c>
      <c r="D14" s="189">
        <v>42</v>
      </c>
      <c r="E14" s="189">
        <v>9</v>
      </c>
      <c r="F14" s="193">
        <v>972</v>
      </c>
      <c r="G14" s="349">
        <f t="shared" si="0"/>
        <v>1023</v>
      </c>
      <c r="H14" s="355">
        <f>G14/G30</f>
        <v>3.9629658324939955E-2</v>
      </c>
    </row>
    <row r="15" spans="1:8" ht="24" customHeight="1">
      <c r="A15" s="455">
        <v>9</v>
      </c>
      <c r="B15" s="444" t="s">
        <v>82</v>
      </c>
      <c r="C15" s="435">
        <v>0</v>
      </c>
      <c r="D15" s="208">
        <v>2093</v>
      </c>
      <c r="E15" s="189">
        <v>3924</v>
      </c>
      <c r="F15" s="209">
        <v>3240</v>
      </c>
      <c r="G15" s="349">
        <f t="shared" si="0"/>
        <v>9257</v>
      </c>
      <c r="H15" s="355">
        <f>G15/G30</f>
        <v>0.35860385837142633</v>
      </c>
    </row>
    <row r="16" spans="1:8" ht="15" customHeight="1">
      <c r="A16" s="455">
        <v>10</v>
      </c>
      <c r="B16" s="444" t="s">
        <v>83</v>
      </c>
      <c r="C16" s="435">
        <v>0</v>
      </c>
      <c r="D16" s="208">
        <v>0</v>
      </c>
      <c r="E16" s="209">
        <v>1</v>
      </c>
      <c r="F16" s="209">
        <f>468+1</f>
        <v>469</v>
      </c>
      <c r="G16" s="348">
        <f t="shared" si="0"/>
        <v>470</v>
      </c>
      <c r="H16" s="355">
        <f>G16/G30</f>
        <v>1.8207174401487565E-2</v>
      </c>
    </row>
    <row r="17" spans="1:8" ht="15" customHeight="1">
      <c r="A17" s="455">
        <v>11</v>
      </c>
      <c r="B17" s="444" t="s">
        <v>84</v>
      </c>
      <c r="C17" s="435">
        <v>0</v>
      </c>
      <c r="D17" s="208">
        <v>0</v>
      </c>
      <c r="E17" s="209">
        <v>0</v>
      </c>
      <c r="F17" s="193">
        <v>711</v>
      </c>
      <c r="G17" s="349">
        <f t="shared" si="0"/>
        <v>711</v>
      </c>
      <c r="H17" s="355">
        <f>G17/G30</f>
        <v>2.7543193615867358E-2</v>
      </c>
    </row>
    <row r="18" spans="1:8" ht="15" customHeight="1">
      <c r="A18" s="455">
        <v>12</v>
      </c>
      <c r="B18" s="444" t="s">
        <v>85</v>
      </c>
      <c r="C18" s="435">
        <v>0</v>
      </c>
      <c r="D18" s="208">
        <v>0</v>
      </c>
      <c r="E18" s="209">
        <v>8</v>
      </c>
      <c r="F18" s="209">
        <v>131</v>
      </c>
      <c r="G18" s="348">
        <f t="shared" si="0"/>
        <v>139</v>
      </c>
      <c r="H18" s="355">
        <f>G18/G30</f>
        <v>5.3846749825675992E-3</v>
      </c>
    </row>
    <row r="19" spans="1:8" ht="15" customHeight="1">
      <c r="A19" s="455">
        <v>13</v>
      </c>
      <c r="B19" s="444" t="s">
        <v>86</v>
      </c>
      <c r="C19" s="435">
        <v>0</v>
      </c>
      <c r="D19" s="208">
        <v>1</v>
      </c>
      <c r="E19" s="209">
        <v>0</v>
      </c>
      <c r="F19" s="209">
        <v>688</v>
      </c>
      <c r="G19" s="348">
        <f t="shared" si="0"/>
        <v>689</v>
      </c>
      <c r="H19" s="355">
        <f>G19/G30</f>
        <v>2.6690942899201982E-2</v>
      </c>
    </row>
    <row r="20" spans="1:8" ht="14.25" customHeight="1">
      <c r="A20" s="455">
        <v>14</v>
      </c>
      <c r="B20" s="444" t="s">
        <v>87</v>
      </c>
      <c r="C20" s="435">
        <v>0</v>
      </c>
      <c r="D20" s="208">
        <v>55</v>
      </c>
      <c r="E20" s="209">
        <v>22</v>
      </c>
      <c r="F20" s="209">
        <v>603</v>
      </c>
      <c r="G20" s="348">
        <f t="shared" si="0"/>
        <v>680</v>
      </c>
      <c r="H20" s="355">
        <f>G20/G30</f>
        <v>2.6342294878747965E-2</v>
      </c>
    </row>
    <row r="21" spans="1:8" ht="13.5" customHeight="1">
      <c r="A21" s="456">
        <v>15</v>
      </c>
      <c r="B21" s="444" t="s">
        <v>88</v>
      </c>
      <c r="C21" s="435">
        <v>0</v>
      </c>
      <c r="D21" s="208">
        <v>14</v>
      </c>
      <c r="E21" s="209">
        <v>0</v>
      </c>
      <c r="F21" s="209">
        <v>1441</v>
      </c>
      <c r="G21" s="348">
        <f t="shared" si="0"/>
        <v>1455</v>
      </c>
      <c r="H21" s="355">
        <f>G21/G30</f>
        <v>5.6364763306732783E-2</v>
      </c>
    </row>
    <row r="22" spans="1:8" ht="15" customHeight="1">
      <c r="A22" s="455">
        <v>16</v>
      </c>
      <c r="B22" s="444" t="s">
        <v>89</v>
      </c>
      <c r="C22" s="435">
        <v>0</v>
      </c>
      <c r="D22" s="208">
        <v>9</v>
      </c>
      <c r="E22" s="209">
        <v>1</v>
      </c>
      <c r="F22" s="209">
        <f>378+2</f>
        <v>380</v>
      </c>
      <c r="G22" s="349">
        <f t="shared" si="0"/>
        <v>390</v>
      </c>
      <c r="H22" s="355">
        <f>G22/G30</f>
        <v>1.5108080886340745E-2</v>
      </c>
    </row>
    <row r="23" spans="1:8" ht="24" customHeight="1">
      <c r="A23" s="456">
        <v>17</v>
      </c>
      <c r="B23" s="444" t="s">
        <v>90</v>
      </c>
      <c r="C23" s="435">
        <v>0</v>
      </c>
      <c r="D23" s="208">
        <v>0</v>
      </c>
      <c r="E23" s="209">
        <v>2</v>
      </c>
      <c r="F23" s="209">
        <v>298</v>
      </c>
      <c r="G23" s="348">
        <f t="shared" si="0"/>
        <v>300</v>
      </c>
      <c r="H23" s="355">
        <f>G23/G30</f>
        <v>1.1621600681800574E-2</v>
      </c>
    </row>
    <row r="24" spans="1:8" ht="17.25" customHeight="1">
      <c r="A24" s="455">
        <v>18</v>
      </c>
      <c r="B24" s="445" t="s">
        <v>91</v>
      </c>
      <c r="C24" s="435">
        <v>0</v>
      </c>
      <c r="D24" s="208">
        <v>50</v>
      </c>
      <c r="E24" s="209">
        <v>6</v>
      </c>
      <c r="F24" s="209">
        <v>380</v>
      </c>
      <c r="G24" s="348">
        <f t="shared" si="0"/>
        <v>436</v>
      </c>
      <c r="H24" s="355">
        <f>G24/G30</f>
        <v>1.6890059657550166E-2</v>
      </c>
    </row>
    <row r="25" spans="1:8" ht="15.75" customHeight="1">
      <c r="A25" s="455">
        <v>19</v>
      </c>
      <c r="B25" s="445" t="s">
        <v>92</v>
      </c>
      <c r="C25" s="435">
        <v>0</v>
      </c>
      <c r="D25" s="208">
        <v>7</v>
      </c>
      <c r="E25" s="209">
        <v>29</v>
      </c>
      <c r="F25" s="209">
        <v>364</v>
      </c>
      <c r="G25" s="348">
        <f t="shared" si="0"/>
        <v>400</v>
      </c>
      <c r="H25" s="355">
        <f>G25/G30</f>
        <v>1.5495467575734098E-2</v>
      </c>
    </row>
    <row r="26" spans="1:8" ht="24" customHeight="1">
      <c r="A26" s="456">
        <v>20</v>
      </c>
      <c r="B26" s="445" t="s">
        <v>93</v>
      </c>
      <c r="C26" s="435">
        <v>0</v>
      </c>
      <c r="D26" s="208">
        <v>0</v>
      </c>
      <c r="E26" s="209">
        <v>0</v>
      </c>
      <c r="F26" s="209">
        <v>37</v>
      </c>
      <c r="G26" s="351">
        <f t="shared" si="0"/>
        <v>37</v>
      </c>
      <c r="H26" s="355">
        <f>G26/G30</f>
        <v>1.433330750755404E-3</v>
      </c>
    </row>
    <row r="27" spans="1:8" ht="16.5" customHeight="1">
      <c r="A27" s="455">
        <v>21</v>
      </c>
      <c r="B27" s="445" t="s">
        <v>94</v>
      </c>
      <c r="C27" s="435">
        <v>0</v>
      </c>
      <c r="D27" s="208">
        <v>0</v>
      </c>
      <c r="E27" s="209">
        <v>0</v>
      </c>
      <c r="F27" s="209">
        <v>15</v>
      </c>
      <c r="G27" s="348">
        <f t="shared" si="0"/>
        <v>15</v>
      </c>
      <c r="H27" s="355">
        <f>G27/G30</f>
        <v>5.8108003409002864E-4</v>
      </c>
    </row>
    <row r="28" spans="1:8" ht="14.25" customHeight="1">
      <c r="A28" s="455">
        <v>22</v>
      </c>
      <c r="B28" s="446" t="s">
        <v>95</v>
      </c>
      <c r="C28" s="435"/>
      <c r="D28" s="208">
        <v>0</v>
      </c>
      <c r="E28" s="209">
        <v>10</v>
      </c>
      <c r="F28" s="209">
        <f>1960+7</f>
        <v>1967</v>
      </c>
      <c r="G28" s="348">
        <f t="shared" si="0"/>
        <v>1977</v>
      </c>
      <c r="H28" s="355">
        <f>G28/G30</f>
        <v>7.6586348493065781E-2</v>
      </c>
    </row>
    <row r="29" spans="1:8" ht="15" customHeight="1" thickBot="1">
      <c r="A29" s="457">
        <v>23</v>
      </c>
      <c r="B29" s="479" t="s">
        <v>96</v>
      </c>
      <c r="C29" s="475">
        <v>0</v>
      </c>
      <c r="D29" s="300">
        <v>0</v>
      </c>
      <c r="E29" s="341">
        <v>0</v>
      </c>
      <c r="F29" s="341"/>
      <c r="G29" s="352">
        <f t="shared" si="0"/>
        <v>0</v>
      </c>
      <c r="H29" s="356">
        <f>G29/G30</f>
        <v>0</v>
      </c>
    </row>
    <row r="30" spans="1:8" ht="24" customHeight="1" thickBot="1">
      <c r="A30" s="620" t="s">
        <v>6</v>
      </c>
      <c r="B30" s="620"/>
      <c r="C30" s="476">
        <f t="shared" ref="C30:H30" si="1">SUM(C7:C29)</f>
        <v>43</v>
      </c>
      <c r="D30" s="339">
        <f t="shared" si="1"/>
        <v>2444</v>
      </c>
      <c r="E30" s="339">
        <f t="shared" si="1"/>
        <v>4056</v>
      </c>
      <c r="F30" s="339">
        <f t="shared" si="1"/>
        <v>19271</v>
      </c>
      <c r="G30" s="353">
        <f t="shared" si="1"/>
        <v>25814</v>
      </c>
      <c r="H30" s="357">
        <f t="shared" si="1"/>
        <v>0.99999999999999989</v>
      </c>
    </row>
    <row r="31" spans="1:8">
      <c r="A31" s="229"/>
      <c r="B31" s="230"/>
      <c r="C31" s="231"/>
      <c r="D31" s="231"/>
      <c r="E31" s="231"/>
      <c r="F31" s="231"/>
      <c r="G31" s="231"/>
    </row>
    <row r="32" spans="1:8">
      <c r="A32" s="110"/>
      <c r="B32" s="110"/>
      <c r="F32" s="284" t="s">
        <v>15</v>
      </c>
    </row>
    <row r="33" spans="1:6">
      <c r="A33" s="614">
        <v>42023</v>
      </c>
      <c r="B33" s="614"/>
      <c r="F33" s="284" t="s">
        <v>97</v>
      </c>
    </row>
    <row r="34" spans="1:6">
      <c r="B34" s="342"/>
    </row>
  </sheetData>
  <mergeCells count="9">
    <mergeCell ref="H5:H6"/>
    <mergeCell ref="C4:H4"/>
    <mergeCell ref="A30:B30"/>
    <mergeCell ref="A33:B33"/>
    <mergeCell ref="A2:G2"/>
    <mergeCell ref="A3:C3"/>
    <mergeCell ref="C5:D5"/>
    <mergeCell ref="E5:F5"/>
    <mergeCell ref="G5:G6"/>
  </mergeCells>
  <pageMargins left="0.31496062992125984" right="0.31496062992125984" top="0.35433070866141736" bottom="0.1574803149606299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H34"/>
  <sheetViews>
    <sheetView topLeftCell="A7" workbookViewId="0">
      <selection activeCell="F30" sqref="F30"/>
    </sheetView>
  </sheetViews>
  <sheetFormatPr defaultRowHeight="12.75"/>
  <cols>
    <col min="1" max="1" width="5.42578125" customWidth="1"/>
    <col min="2" max="2" width="52.7109375" customWidth="1"/>
    <col min="3" max="7" width="12.7109375" customWidth="1"/>
    <col min="8" max="8" width="12.5703125" customWidth="1"/>
  </cols>
  <sheetData>
    <row r="1" spans="1:8">
      <c r="A1" s="426" t="s">
        <v>122</v>
      </c>
      <c r="B1" s="48"/>
    </row>
    <row r="2" spans="1:8" ht="30.75" customHeight="1">
      <c r="A2" s="619" t="s">
        <v>146</v>
      </c>
      <c r="B2" s="619"/>
      <c r="C2" s="619"/>
      <c r="D2" s="619"/>
      <c r="E2" s="619"/>
      <c r="F2" s="619"/>
      <c r="G2" s="619"/>
    </row>
    <row r="3" spans="1:8" ht="11.25" customHeight="1" thickBot="1">
      <c r="A3" s="568"/>
      <c r="B3" s="568"/>
      <c r="C3" s="568"/>
    </row>
    <row r="4" spans="1:8" ht="14.25" customHeight="1">
      <c r="A4" s="451"/>
      <c r="B4" s="440"/>
      <c r="C4" s="572" t="s">
        <v>66</v>
      </c>
      <c r="D4" s="572"/>
      <c r="E4" s="572"/>
      <c r="F4" s="572"/>
      <c r="G4" s="572"/>
      <c r="H4" s="622"/>
    </row>
    <row r="5" spans="1:8" ht="13.5" customHeight="1">
      <c r="A5" s="452" t="s">
        <v>67</v>
      </c>
      <c r="B5" s="441" t="s">
        <v>68</v>
      </c>
      <c r="C5" s="575" t="s">
        <v>69</v>
      </c>
      <c r="D5" s="576"/>
      <c r="E5" s="577" t="s">
        <v>70</v>
      </c>
      <c r="F5" s="578"/>
      <c r="G5" s="596" t="s">
        <v>6</v>
      </c>
      <c r="H5" s="617" t="s">
        <v>123</v>
      </c>
    </row>
    <row r="6" spans="1:8" ht="24" customHeight="1" thickBot="1">
      <c r="A6" s="448"/>
      <c r="B6" s="448"/>
      <c r="C6" s="206" t="s">
        <v>71</v>
      </c>
      <c r="D6" s="207" t="s">
        <v>72</v>
      </c>
      <c r="E6" s="207" t="s">
        <v>72</v>
      </c>
      <c r="F6" s="338" t="s">
        <v>73</v>
      </c>
      <c r="G6" s="621"/>
      <c r="H6" s="618"/>
    </row>
    <row r="7" spans="1:8" ht="14.25" customHeight="1">
      <c r="A7" s="477">
        <v>1</v>
      </c>
      <c r="B7" s="478" t="s">
        <v>74</v>
      </c>
      <c r="C7" s="480">
        <v>0</v>
      </c>
      <c r="D7" s="334">
        <v>0</v>
      </c>
      <c r="E7" s="290">
        <v>1</v>
      </c>
      <c r="F7" s="290">
        <v>112</v>
      </c>
      <c r="G7" s="481">
        <f>SUM(C7+D7+E7+F7)</f>
        <v>113</v>
      </c>
      <c r="H7" s="355">
        <f>G7/G30</f>
        <v>3.8128015656105543E-3</v>
      </c>
    </row>
    <row r="8" spans="1:8" ht="14.25" customHeight="1">
      <c r="A8" s="455">
        <v>2</v>
      </c>
      <c r="B8" s="444" t="s">
        <v>75</v>
      </c>
      <c r="C8" s="435">
        <v>0</v>
      </c>
      <c r="D8" s="208">
        <v>0</v>
      </c>
      <c r="E8" s="209">
        <v>0</v>
      </c>
      <c r="F8" s="209">
        <v>25</v>
      </c>
      <c r="G8" s="348">
        <f>SUM(C8+D8+E8+F8)</f>
        <v>25</v>
      </c>
      <c r="H8" s="355">
        <f>G8/G30</f>
        <v>8.4354016938286596E-4</v>
      </c>
    </row>
    <row r="9" spans="1:8" ht="12.75" customHeight="1">
      <c r="A9" s="455">
        <v>3</v>
      </c>
      <c r="B9" s="444" t="s">
        <v>76</v>
      </c>
      <c r="C9" s="435">
        <v>46</v>
      </c>
      <c r="D9" s="208">
        <v>0</v>
      </c>
      <c r="E9" s="209">
        <v>3</v>
      </c>
      <c r="F9" s="209">
        <v>1672</v>
      </c>
      <c r="G9" s="348">
        <f t="shared" ref="G9:G29" si="0">SUM(C9+D9+E9+F9)</f>
        <v>1721</v>
      </c>
      <c r="H9" s="355">
        <f>G9/G30</f>
        <v>5.8069305260316499E-2</v>
      </c>
    </row>
    <row r="10" spans="1:8" ht="15" customHeight="1">
      <c r="A10" s="455">
        <v>4</v>
      </c>
      <c r="B10" s="444" t="s">
        <v>77</v>
      </c>
      <c r="C10" s="436">
        <v>0</v>
      </c>
      <c r="D10" s="211">
        <v>0</v>
      </c>
      <c r="E10" s="212">
        <v>0</v>
      </c>
      <c r="F10" s="193">
        <v>21</v>
      </c>
      <c r="G10" s="349">
        <f t="shared" si="0"/>
        <v>21</v>
      </c>
      <c r="H10" s="355">
        <f>G10/G30</f>
        <v>7.0857374228160748E-4</v>
      </c>
    </row>
    <row r="11" spans="1:8" ht="24" customHeight="1">
      <c r="A11" s="455">
        <v>5</v>
      </c>
      <c r="B11" s="444" t="s">
        <v>78</v>
      </c>
      <c r="C11" s="435">
        <v>0</v>
      </c>
      <c r="D11" s="208">
        <v>0</v>
      </c>
      <c r="E11" s="209">
        <v>0</v>
      </c>
      <c r="F11" s="209">
        <v>9</v>
      </c>
      <c r="G11" s="349">
        <f t="shared" si="0"/>
        <v>9</v>
      </c>
      <c r="H11" s="355">
        <f>G11/G30</f>
        <v>3.0367446097783179E-4</v>
      </c>
    </row>
    <row r="12" spans="1:8" ht="12.75" customHeight="1">
      <c r="A12" s="455">
        <v>6</v>
      </c>
      <c r="B12" s="444" t="s">
        <v>79</v>
      </c>
      <c r="C12" s="436">
        <v>0</v>
      </c>
      <c r="D12" s="189">
        <v>2</v>
      </c>
      <c r="E12" s="193">
        <v>17</v>
      </c>
      <c r="F12" s="193">
        <f>2128+1</f>
        <v>2129</v>
      </c>
      <c r="G12" s="349">
        <f t="shared" si="0"/>
        <v>2148</v>
      </c>
      <c r="H12" s="355">
        <f>G12/G30</f>
        <v>7.2476971353375844E-2</v>
      </c>
    </row>
    <row r="13" spans="1:8" ht="24" customHeight="1">
      <c r="A13" s="455">
        <v>7</v>
      </c>
      <c r="B13" s="444" t="s">
        <v>80</v>
      </c>
      <c r="C13" s="436">
        <v>0</v>
      </c>
      <c r="D13" s="189">
        <v>224</v>
      </c>
      <c r="E13" s="193">
        <v>32</v>
      </c>
      <c r="F13" s="193">
        <f>3625+1</f>
        <v>3626</v>
      </c>
      <c r="G13" s="349">
        <f t="shared" si="0"/>
        <v>3882</v>
      </c>
      <c r="H13" s="355">
        <f>G13/G30</f>
        <v>0.13098491750177144</v>
      </c>
    </row>
    <row r="14" spans="1:8" ht="14.25" customHeight="1">
      <c r="A14" s="455">
        <v>8</v>
      </c>
      <c r="B14" s="444" t="s">
        <v>81</v>
      </c>
      <c r="C14" s="436">
        <v>0</v>
      </c>
      <c r="D14" s="189">
        <v>42</v>
      </c>
      <c r="E14" s="189">
        <v>12</v>
      </c>
      <c r="F14" s="193">
        <f>1098+1</f>
        <v>1099</v>
      </c>
      <c r="G14" s="349">
        <f t="shared" si="0"/>
        <v>1153</v>
      </c>
      <c r="H14" s="355">
        <f>G14/G30</f>
        <v>3.8904072611937783E-2</v>
      </c>
    </row>
    <row r="15" spans="1:8" ht="24" customHeight="1">
      <c r="A15" s="455">
        <v>9</v>
      </c>
      <c r="B15" s="444" t="s">
        <v>82</v>
      </c>
      <c r="C15" s="435">
        <v>0</v>
      </c>
      <c r="D15" s="208">
        <v>3739</v>
      </c>
      <c r="E15" s="189">
        <v>4701</v>
      </c>
      <c r="F15" s="209">
        <f>3800+1</f>
        <v>3801</v>
      </c>
      <c r="G15" s="349">
        <f t="shared" si="0"/>
        <v>12241</v>
      </c>
      <c r="H15" s="355">
        <f>G15/G30</f>
        <v>0.4130310085366265</v>
      </c>
    </row>
    <row r="16" spans="1:8" ht="15" customHeight="1">
      <c r="A16" s="455">
        <v>10</v>
      </c>
      <c r="B16" s="444" t="s">
        <v>83</v>
      </c>
      <c r="C16" s="435">
        <v>0</v>
      </c>
      <c r="D16" s="208">
        <v>0</v>
      </c>
      <c r="E16" s="209">
        <v>1</v>
      </c>
      <c r="F16" s="209">
        <f>469+1</f>
        <v>470</v>
      </c>
      <c r="G16" s="348">
        <f t="shared" si="0"/>
        <v>471</v>
      </c>
      <c r="H16" s="355">
        <f>G16/G30</f>
        <v>1.5892296791173197E-2</v>
      </c>
    </row>
    <row r="17" spans="1:8" ht="15" customHeight="1">
      <c r="A17" s="455">
        <v>11</v>
      </c>
      <c r="B17" s="444" t="s">
        <v>84</v>
      </c>
      <c r="C17" s="435">
        <v>0</v>
      </c>
      <c r="D17" s="208">
        <v>0</v>
      </c>
      <c r="E17" s="209">
        <v>0</v>
      </c>
      <c r="F17" s="193">
        <v>601</v>
      </c>
      <c r="G17" s="349">
        <f t="shared" si="0"/>
        <v>601</v>
      </c>
      <c r="H17" s="355">
        <f>G17/G30</f>
        <v>2.02787056719641E-2</v>
      </c>
    </row>
    <row r="18" spans="1:8" ht="15" customHeight="1">
      <c r="A18" s="455">
        <v>12</v>
      </c>
      <c r="B18" s="444" t="s">
        <v>85</v>
      </c>
      <c r="C18" s="435">
        <v>0</v>
      </c>
      <c r="D18" s="208">
        <v>0</v>
      </c>
      <c r="E18" s="209">
        <v>8</v>
      </c>
      <c r="F18" s="209">
        <v>150</v>
      </c>
      <c r="G18" s="348">
        <f t="shared" si="0"/>
        <v>158</v>
      </c>
      <c r="H18" s="355">
        <f>G18/G30</f>
        <v>5.3311738704997129E-3</v>
      </c>
    </row>
    <row r="19" spans="1:8" ht="15" customHeight="1">
      <c r="A19" s="455">
        <v>13</v>
      </c>
      <c r="B19" s="444" t="s">
        <v>86</v>
      </c>
      <c r="C19" s="435">
        <v>0</v>
      </c>
      <c r="D19" s="208">
        <v>1</v>
      </c>
      <c r="E19" s="209">
        <v>1</v>
      </c>
      <c r="F19" s="209">
        <v>697</v>
      </c>
      <c r="G19" s="348">
        <f t="shared" si="0"/>
        <v>699</v>
      </c>
      <c r="H19" s="355">
        <f>G19/G30</f>
        <v>2.3585383135944934E-2</v>
      </c>
    </row>
    <row r="20" spans="1:8" ht="14.25" customHeight="1">
      <c r="A20" s="455">
        <v>14</v>
      </c>
      <c r="B20" s="444" t="s">
        <v>87</v>
      </c>
      <c r="C20" s="435">
        <v>0</v>
      </c>
      <c r="D20" s="208">
        <v>58</v>
      </c>
      <c r="E20" s="209">
        <v>37</v>
      </c>
      <c r="F20" s="209">
        <v>685</v>
      </c>
      <c r="G20" s="348">
        <f t="shared" si="0"/>
        <v>780</v>
      </c>
      <c r="H20" s="355">
        <f>G20/G30</f>
        <v>2.631845328474542E-2</v>
      </c>
    </row>
    <row r="21" spans="1:8" ht="13.5" customHeight="1">
      <c r="A21" s="456">
        <v>15</v>
      </c>
      <c r="B21" s="444" t="s">
        <v>88</v>
      </c>
      <c r="C21" s="435">
        <v>0</v>
      </c>
      <c r="D21" s="208">
        <v>16</v>
      </c>
      <c r="E21" s="209">
        <v>0</v>
      </c>
      <c r="F21" s="209">
        <v>2152</v>
      </c>
      <c r="G21" s="348">
        <f t="shared" si="0"/>
        <v>2168</v>
      </c>
      <c r="H21" s="355">
        <f>G21/G30</f>
        <v>7.3151803488882144E-2</v>
      </c>
    </row>
    <row r="22" spans="1:8" ht="15" customHeight="1">
      <c r="A22" s="455">
        <v>16</v>
      </c>
      <c r="B22" s="444" t="s">
        <v>89</v>
      </c>
      <c r="C22" s="435">
        <v>0</v>
      </c>
      <c r="D22" s="208">
        <v>9</v>
      </c>
      <c r="E22" s="209">
        <v>3</v>
      </c>
      <c r="F22" s="209">
        <f>364+1</f>
        <v>365</v>
      </c>
      <c r="G22" s="349">
        <f t="shared" si="0"/>
        <v>377</v>
      </c>
      <c r="H22" s="355">
        <f>G22/G30</f>
        <v>1.272058575429362E-2</v>
      </c>
    </row>
    <row r="23" spans="1:8" ht="24" customHeight="1">
      <c r="A23" s="456">
        <v>17</v>
      </c>
      <c r="B23" s="444" t="s">
        <v>90</v>
      </c>
      <c r="C23" s="435">
        <v>0</v>
      </c>
      <c r="D23" s="208">
        <v>0</v>
      </c>
      <c r="E23" s="209">
        <v>2</v>
      </c>
      <c r="F23" s="209">
        <v>298</v>
      </c>
      <c r="G23" s="348">
        <f t="shared" si="0"/>
        <v>300</v>
      </c>
      <c r="H23" s="355">
        <f>G23/G30</f>
        <v>1.0122482032594393E-2</v>
      </c>
    </row>
    <row r="24" spans="1:8" ht="17.25" customHeight="1">
      <c r="A24" s="455">
        <v>18</v>
      </c>
      <c r="B24" s="445" t="s">
        <v>91</v>
      </c>
      <c r="C24" s="435">
        <v>0</v>
      </c>
      <c r="D24" s="208">
        <v>53</v>
      </c>
      <c r="E24" s="209">
        <v>11</v>
      </c>
      <c r="F24" s="209">
        <v>407</v>
      </c>
      <c r="G24" s="348">
        <f t="shared" si="0"/>
        <v>471</v>
      </c>
      <c r="H24" s="355">
        <f>G24/G30</f>
        <v>1.5892296791173197E-2</v>
      </c>
    </row>
    <row r="25" spans="1:8" ht="15.75" customHeight="1">
      <c r="A25" s="455">
        <v>19</v>
      </c>
      <c r="B25" s="445" t="s">
        <v>92</v>
      </c>
      <c r="C25" s="435">
        <v>0</v>
      </c>
      <c r="D25" s="208">
        <v>17</v>
      </c>
      <c r="E25" s="209">
        <v>32</v>
      </c>
      <c r="F25" s="209">
        <v>411</v>
      </c>
      <c r="G25" s="348">
        <f t="shared" si="0"/>
        <v>460</v>
      </c>
      <c r="H25" s="355">
        <f>G25/G30</f>
        <v>1.5521139116644735E-2</v>
      </c>
    </row>
    <row r="26" spans="1:8" ht="24" customHeight="1">
      <c r="A26" s="456">
        <v>20</v>
      </c>
      <c r="B26" s="445" t="s">
        <v>93</v>
      </c>
      <c r="C26" s="435">
        <v>0</v>
      </c>
      <c r="D26" s="208">
        <v>0</v>
      </c>
      <c r="E26" s="209">
        <v>0</v>
      </c>
      <c r="F26" s="209">
        <v>42</v>
      </c>
      <c r="G26" s="351">
        <f t="shared" si="0"/>
        <v>42</v>
      </c>
      <c r="H26" s="355">
        <f>G26/G30</f>
        <v>1.417147484563215E-3</v>
      </c>
    </row>
    <row r="27" spans="1:8" ht="16.5" customHeight="1">
      <c r="A27" s="455">
        <v>21</v>
      </c>
      <c r="B27" s="445" t="s">
        <v>94</v>
      </c>
      <c r="C27" s="435">
        <v>0</v>
      </c>
      <c r="D27" s="208">
        <v>0</v>
      </c>
      <c r="E27" s="209">
        <v>0</v>
      </c>
      <c r="F27" s="209">
        <v>15</v>
      </c>
      <c r="G27" s="348">
        <f t="shared" si="0"/>
        <v>15</v>
      </c>
      <c r="H27" s="355">
        <f>G27/G30</f>
        <v>5.0612410162971955E-4</v>
      </c>
    </row>
    <row r="28" spans="1:8" ht="14.25" customHeight="1">
      <c r="A28" s="455">
        <v>22</v>
      </c>
      <c r="B28" s="446" t="s">
        <v>95</v>
      </c>
      <c r="C28" s="435">
        <v>0</v>
      </c>
      <c r="D28" s="208">
        <v>2</v>
      </c>
      <c r="E28" s="209">
        <v>18</v>
      </c>
      <c r="F28" s="209">
        <f>1754+8</f>
        <v>1762</v>
      </c>
      <c r="G28" s="348">
        <f t="shared" si="0"/>
        <v>1782</v>
      </c>
      <c r="H28" s="355">
        <f>G28/G30</f>
        <v>6.0127543273610688E-2</v>
      </c>
    </row>
    <row r="29" spans="1:8" ht="15" customHeight="1" thickBot="1">
      <c r="A29" s="457">
        <v>23</v>
      </c>
      <c r="B29" s="479" t="s">
        <v>96</v>
      </c>
      <c r="C29" s="475">
        <v>0</v>
      </c>
      <c r="D29" s="300">
        <v>0</v>
      </c>
      <c r="E29" s="341">
        <v>0</v>
      </c>
      <c r="F29" s="341">
        <v>0</v>
      </c>
      <c r="G29" s="352">
        <f t="shared" si="0"/>
        <v>0</v>
      </c>
      <c r="H29" s="472">
        <f>G29/G30</f>
        <v>0</v>
      </c>
    </row>
    <row r="30" spans="1:8" ht="24" customHeight="1" thickBot="1">
      <c r="A30" s="620" t="s">
        <v>6</v>
      </c>
      <c r="B30" s="620"/>
      <c r="C30" s="476">
        <f t="shared" ref="C30:H30" si="1">SUM(C7:C29)</f>
        <v>46</v>
      </c>
      <c r="D30" s="339">
        <f t="shared" si="1"/>
        <v>4163</v>
      </c>
      <c r="E30" s="339">
        <f t="shared" si="1"/>
        <v>4879</v>
      </c>
      <c r="F30" s="339">
        <f t="shared" si="1"/>
        <v>20549</v>
      </c>
      <c r="G30" s="340">
        <f t="shared" si="1"/>
        <v>29637</v>
      </c>
      <c r="H30" s="474">
        <f t="shared" si="1"/>
        <v>1</v>
      </c>
    </row>
    <row r="31" spans="1:8">
      <c r="A31" s="229"/>
      <c r="B31" s="230"/>
      <c r="C31" s="231"/>
      <c r="D31" s="231"/>
      <c r="E31" s="231"/>
      <c r="F31" s="231"/>
      <c r="G31" s="231"/>
    </row>
    <row r="32" spans="1:8">
      <c r="A32" s="110"/>
      <c r="B32" s="110"/>
      <c r="F32" s="284" t="s">
        <v>15</v>
      </c>
    </row>
    <row r="33" spans="1:6">
      <c r="A33" s="614">
        <v>42054</v>
      </c>
      <c r="B33" s="614"/>
      <c r="F33" s="284" t="s">
        <v>97</v>
      </c>
    </row>
    <row r="34" spans="1:6">
      <c r="B34" s="342"/>
    </row>
  </sheetData>
  <mergeCells count="9">
    <mergeCell ref="A30:B30"/>
    <mergeCell ref="A33:B33"/>
    <mergeCell ref="H5:H6"/>
    <mergeCell ref="A2:G2"/>
    <mergeCell ref="A3:C3"/>
    <mergeCell ref="C5:D5"/>
    <mergeCell ref="E5:F5"/>
    <mergeCell ref="G5:G6"/>
    <mergeCell ref="C4:H4"/>
  </mergeCells>
  <pageMargins left="0.70866141732283472" right="0.70866141732283472" top="0.35433070866141736"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S33"/>
  <sheetViews>
    <sheetView workbookViewId="0">
      <selection activeCell="L23" sqref="L23"/>
    </sheetView>
  </sheetViews>
  <sheetFormatPr defaultRowHeight="12.75"/>
  <cols>
    <col min="1" max="1" width="14.85546875" customWidth="1"/>
    <col min="4" max="4" width="9.7109375" customWidth="1"/>
    <col min="9" max="9" width="8.85546875" customWidth="1"/>
    <col min="10" max="10" width="9.5703125" customWidth="1"/>
    <col min="13" max="13" width="8.5703125" customWidth="1"/>
    <col min="14" max="14" width="10.7109375" customWidth="1"/>
  </cols>
  <sheetData>
    <row r="1" spans="1:19">
      <c r="A1" s="427" t="s">
        <v>104</v>
      </c>
      <c r="L1" s="525"/>
      <c r="M1" s="525"/>
      <c r="N1" s="525"/>
    </row>
    <row r="2" spans="1:19">
      <c r="A2" s="526" t="s">
        <v>54</v>
      </c>
      <c r="B2" s="526"/>
      <c r="C2" s="526"/>
      <c r="D2" s="526"/>
      <c r="E2" s="526"/>
      <c r="F2" s="526"/>
      <c r="G2" s="526"/>
      <c r="H2" s="526"/>
      <c r="I2" s="526"/>
      <c r="J2" s="526"/>
      <c r="K2" s="526"/>
      <c r="L2" s="526"/>
      <c r="M2" s="526"/>
      <c r="N2" s="526"/>
      <c r="O2" s="97"/>
    </row>
    <row r="3" spans="1:19">
      <c r="A3" s="526" t="s">
        <v>130</v>
      </c>
      <c r="B3" s="526"/>
      <c r="C3" s="526"/>
      <c r="D3" s="526"/>
      <c r="E3" s="526"/>
      <c r="F3" s="526"/>
      <c r="G3" s="526"/>
      <c r="H3" s="526"/>
      <c r="I3" s="526"/>
      <c r="J3" s="526"/>
      <c r="K3" s="526"/>
      <c r="L3" s="526"/>
      <c r="M3" s="526"/>
      <c r="N3" s="526"/>
    </row>
    <row r="4" spans="1:19" ht="13.5" thickBot="1">
      <c r="A4" s="1"/>
      <c r="B4" s="1"/>
      <c r="C4" s="2"/>
      <c r="D4" s="1"/>
      <c r="E4" s="1"/>
      <c r="F4" s="1"/>
      <c r="G4" s="1"/>
      <c r="H4" s="1"/>
      <c r="I4" s="1"/>
      <c r="J4" s="1"/>
      <c r="K4" s="1"/>
      <c r="L4" s="1"/>
      <c r="M4" s="1"/>
      <c r="N4" s="1"/>
    </row>
    <row r="5" spans="1:19" ht="15.95" customHeight="1">
      <c r="A5" s="21"/>
      <c r="B5" s="527">
        <v>2013</v>
      </c>
      <c r="C5" s="527"/>
      <c r="D5" s="527"/>
      <c r="E5" s="527"/>
      <c r="F5" s="527"/>
      <c r="G5" s="528"/>
      <c r="H5" s="529">
        <v>2014</v>
      </c>
      <c r="I5" s="527"/>
      <c r="J5" s="527"/>
      <c r="K5" s="527"/>
      <c r="L5" s="527"/>
      <c r="M5" s="530"/>
      <c r="N5" s="106" t="s">
        <v>8</v>
      </c>
    </row>
    <row r="6" spans="1:19" ht="15.95" customHeight="1">
      <c r="A6" s="132" t="s">
        <v>0</v>
      </c>
      <c r="B6" s="258" t="s">
        <v>1</v>
      </c>
      <c r="C6" s="92" t="s">
        <v>2</v>
      </c>
      <c r="D6" s="93" t="s">
        <v>3</v>
      </c>
      <c r="E6" s="92" t="s">
        <v>4</v>
      </c>
      <c r="F6" s="92" t="s">
        <v>5</v>
      </c>
      <c r="G6" s="225" t="s">
        <v>6</v>
      </c>
      <c r="H6" s="91" t="s">
        <v>1</v>
      </c>
      <c r="I6" s="92" t="s">
        <v>2</v>
      </c>
      <c r="J6" s="93" t="s">
        <v>3</v>
      </c>
      <c r="K6" s="92" t="s">
        <v>4</v>
      </c>
      <c r="L6" s="92" t="s">
        <v>5</v>
      </c>
      <c r="M6" s="92" t="s">
        <v>6</v>
      </c>
      <c r="N6" s="107" t="s">
        <v>9</v>
      </c>
    </row>
    <row r="7" spans="1:19" ht="15.95" customHeight="1" thickBot="1">
      <c r="A7" s="24"/>
      <c r="B7" s="259"/>
      <c r="C7" s="25"/>
      <c r="D7" s="19"/>
      <c r="E7" s="25"/>
      <c r="F7" s="25"/>
      <c r="G7" s="226"/>
      <c r="H7" s="24"/>
      <c r="I7" s="25"/>
      <c r="J7" s="19"/>
      <c r="K7" s="25"/>
      <c r="L7" s="25"/>
      <c r="M7" s="25"/>
      <c r="N7" s="108"/>
    </row>
    <row r="8" spans="1:19" ht="15.95" customHeight="1">
      <c r="A8" s="248" t="s">
        <v>23</v>
      </c>
      <c r="B8" s="62">
        <v>9682</v>
      </c>
      <c r="C8" s="22">
        <v>5287</v>
      </c>
      <c r="D8" s="22">
        <v>7593</v>
      </c>
      <c r="E8" s="22">
        <v>7977</v>
      </c>
      <c r="F8" s="62">
        <v>5927</v>
      </c>
      <c r="G8" s="261">
        <f t="shared" ref="G8:G13" si="0">SUM(B8:F8)</f>
        <v>36466</v>
      </c>
      <c r="H8" s="248">
        <f>'κατά επαρχία και φύλο το 2014'!B8+'κατά επαρχία και φύλο το 2014'!I8</f>
        <v>9800</v>
      </c>
      <c r="I8" s="126">
        <f>'κατά επαρχία και φύλο το 2014'!C8+'κατά επαρχία και φύλο το 2014'!J8</f>
        <v>5497</v>
      </c>
      <c r="J8" s="126">
        <f>'κατά επαρχία και φύλο το 2014'!D8+'κατά επαρχία και φύλο το 2014'!K8</f>
        <v>8034</v>
      </c>
      <c r="K8" s="126">
        <f>'κατά επαρχία και φύλο το 2014'!E8+'κατά επαρχία και φύλο το 2014'!L8</f>
        <v>8622</v>
      </c>
      <c r="L8" s="126">
        <f>'κατά επαρχία και φύλο το 2014'!F8+'κατά επαρχία και φύλο το 2014'!M8</f>
        <v>6380</v>
      </c>
      <c r="M8" s="126">
        <f t="shared" ref="M8" si="1">SUM(H8:L8)</f>
        <v>38333</v>
      </c>
      <c r="N8" s="127">
        <f t="shared" ref="N8" si="2">+(M8/G8)-1</f>
        <v>5.1198376569955517E-2</v>
      </c>
    </row>
    <row r="9" spans="1:19" ht="15.95" customHeight="1">
      <c r="A9" s="31" t="s">
        <v>24</v>
      </c>
      <c r="B9" s="71">
        <v>9471</v>
      </c>
      <c r="C9" s="32">
        <v>5268</v>
      </c>
      <c r="D9" s="32">
        <v>7455</v>
      </c>
      <c r="E9" s="32">
        <v>8022</v>
      </c>
      <c r="F9" s="71">
        <v>5995</v>
      </c>
      <c r="G9" s="227">
        <f t="shared" si="0"/>
        <v>36211</v>
      </c>
      <c r="H9" s="31">
        <f>'κατά επαρχία και φύλο το 2014'!B9+'κατά επαρχία και φύλο το 2014'!I9</f>
        <v>9243</v>
      </c>
      <c r="I9" s="32">
        <f>'κατά επαρχία και φύλο το 2014'!C9+'κατά επαρχία και φύλο το 2014'!J9</f>
        <v>5258</v>
      </c>
      <c r="J9" s="32">
        <f>'κατά επαρχία και φύλο το 2014'!D9+'κατά επαρχία και φύλο το 2014'!K9</f>
        <v>7921</v>
      </c>
      <c r="K9" s="32">
        <f>'κατά επαρχία και φύλο το 2014'!E9+'κατά επαρχία και φύλο το 2014'!L9</f>
        <v>8406</v>
      </c>
      <c r="L9" s="32">
        <f>'κατά επαρχία και φύλο το 2014'!F9+'κατά επαρχία και φύλο το 2014'!M9</f>
        <v>6073</v>
      </c>
      <c r="M9" s="32">
        <f t="shared" ref="M9" si="3">SUM(H9:L9)</f>
        <v>36901</v>
      </c>
      <c r="N9" s="503">
        <f t="shared" ref="N9" si="4">+(M9/G9)-1</f>
        <v>1.9054983292369654E-2</v>
      </c>
    </row>
    <row r="10" spans="1:19" ht="15.95" customHeight="1">
      <c r="A10" s="31" t="s">
        <v>25</v>
      </c>
      <c r="B10" s="71">
        <v>9479</v>
      </c>
      <c r="C10" s="32">
        <v>5235</v>
      </c>
      <c r="D10" s="32">
        <v>7345</v>
      </c>
      <c r="E10" s="32">
        <v>7806</v>
      </c>
      <c r="F10" s="71">
        <v>5369</v>
      </c>
      <c r="G10" s="227">
        <f t="shared" si="0"/>
        <v>35234</v>
      </c>
      <c r="H10" s="31">
        <f>'κατά επαρχία και φύλο το 2014'!B10+'κατά επαρχία και φύλο το 2014'!I10</f>
        <v>8933</v>
      </c>
      <c r="I10" s="32">
        <f>'κατά επαρχία και φύλο το 2014'!C10+'κατά επαρχία και φύλο το 2014'!J10</f>
        <v>4845</v>
      </c>
      <c r="J10" s="32">
        <f>'κατά επαρχία και φύλο το 2014'!D10+'κατά επαρχία και φύλο το 2014'!K10</f>
        <v>7672</v>
      </c>
      <c r="K10" s="32">
        <f>'κατά επαρχία και φύλο το 2014'!E10+'κατά επαρχία και φύλο το 2014'!L10</f>
        <v>7882</v>
      </c>
      <c r="L10" s="32">
        <f>'κατά επαρχία και φύλο το 2014'!F10+'κατά επαρχία και φύλο το 2014'!M10</f>
        <v>5684</v>
      </c>
      <c r="M10" s="32">
        <f t="shared" ref="M10" si="5">SUM(H10:L10)</f>
        <v>35016</v>
      </c>
      <c r="N10" s="503">
        <f t="shared" ref="N10" si="6">+(M10/G10)-1</f>
        <v>-6.1872055401033244E-3</v>
      </c>
      <c r="S10" s="105"/>
    </row>
    <row r="11" spans="1:19" ht="15.95" customHeight="1">
      <c r="A11" s="31" t="s">
        <v>26</v>
      </c>
      <c r="B11" s="71">
        <v>9964</v>
      </c>
      <c r="C11" s="32">
        <v>5158</v>
      </c>
      <c r="D11" s="32">
        <v>4840</v>
      </c>
      <c r="E11" s="32">
        <v>8075</v>
      </c>
      <c r="F11" s="71">
        <v>3850</v>
      </c>
      <c r="G11" s="227">
        <f t="shared" si="0"/>
        <v>31887</v>
      </c>
      <c r="H11" s="31">
        <f>'κατά επαρχία και φύλο το 2014'!B11+'κατά επαρχία και φύλο το 2014'!I11</f>
        <v>8603</v>
      </c>
      <c r="I11" s="32">
        <f>'κατά επαρχία και φύλο το 2014'!C11+'κατά επαρχία και φύλο το 2014'!J11</f>
        <v>4209</v>
      </c>
      <c r="J11" s="32">
        <f>'κατά επαρχία και φύλο το 2014'!D11+'κατά επαρχία και φύλο το 2014'!K11</f>
        <v>4822</v>
      </c>
      <c r="K11" s="32">
        <f>'κατά επαρχία και φύλο το 2014'!E11+'κατά επαρχία και φύλο το 2014'!L11</f>
        <v>7066</v>
      </c>
      <c r="L11" s="32">
        <f>'κατά επαρχία και φύλο το 2014'!F11+'κατά επαρχία και φύλο το 2014'!M11</f>
        <v>3518</v>
      </c>
      <c r="M11" s="32">
        <f t="shared" ref="M11" si="7">SUM(H11:L11)</f>
        <v>28218</v>
      </c>
      <c r="N11" s="503">
        <f t="shared" ref="N11" si="8">+(M11/G11)-1</f>
        <v>-0.11506256468153164</v>
      </c>
      <c r="S11" s="105"/>
    </row>
    <row r="12" spans="1:19" ht="15.95" customHeight="1">
      <c r="A12" s="31" t="s">
        <v>27</v>
      </c>
      <c r="B12" s="71">
        <v>9876</v>
      </c>
      <c r="C12" s="32">
        <v>4760</v>
      </c>
      <c r="D12" s="32">
        <v>2442</v>
      </c>
      <c r="E12" s="32">
        <v>7873</v>
      </c>
      <c r="F12" s="32">
        <v>3030</v>
      </c>
      <c r="G12" s="227">
        <f t="shared" si="0"/>
        <v>27981</v>
      </c>
      <c r="H12" s="31">
        <f>'κατά επαρχία και φύλο το 2014'!B12+'κατά επαρχία και φύλο το 2014'!I12</f>
        <v>8180</v>
      </c>
      <c r="I12" s="32">
        <f>'κατά επαρχία και φύλο το 2014'!C12+'κατά επαρχία και φύλο το 2014'!J12</f>
        <v>3624</v>
      </c>
      <c r="J12" s="32">
        <f>'κατά επαρχία και φύλο το 2014'!D12+'κατά επαρχία και φύλο το 2014'!K12</f>
        <v>1989</v>
      </c>
      <c r="K12" s="32">
        <f>'κατά επαρχία και φύλο το 2014'!E12+'κατά επαρχία και φύλο το 2014'!L12</f>
        <v>6720</v>
      </c>
      <c r="L12" s="32">
        <f>'κατά επαρχία και φύλο το 2014'!F12+'κατά επαρχία και φύλο το 2014'!M12</f>
        <v>2822</v>
      </c>
      <c r="M12" s="32">
        <f t="shared" ref="M12" si="9">SUM(H12:L12)</f>
        <v>23335</v>
      </c>
      <c r="N12" s="503">
        <f t="shared" ref="N12" si="10">+(M12/G12)-1</f>
        <v>-0.16604124227154138</v>
      </c>
      <c r="S12" s="105"/>
    </row>
    <row r="13" spans="1:19" ht="15.95" customHeight="1" thickBot="1">
      <c r="A13" s="251" t="s">
        <v>28</v>
      </c>
      <c r="B13" s="262">
        <v>10678</v>
      </c>
      <c r="C13" s="263">
        <v>4931</v>
      </c>
      <c r="D13" s="263">
        <v>1682</v>
      </c>
      <c r="E13" s="263">
        <v>8189</v>
      </c>
      <c r="F13" s="263">
        <v>2810</v>
      </c>
      <c r="G13" s="264">
        <f t="shared" si="0"/>
        <v>28290</v>
      </c>
      <c r="H13" s="31">
        <f>'κατά επαρχία και φύλο το 2014'!B13+'κατά επαρχία και φύλο το 2014'!I13</f>
        <v>8520</v>
      </c>
      <c r="I13" s="32">
        <f>'κατά επαρχία και φύλο το 2014'!C13+'κατά επαρχία και φύλο το 2014'!J13</f>
        <v>3685</v>
      </c>
      <c r="J13" s="32">
        <f>'κατά επαρχία και φύλο το 2014'!D13+'κατά επαρχία και φύλο το 2014'!K13</f>
        <v>1323</v>
      </c>
      <c r="K13" s="32">
        <f>'κατά επαρχία και φύλο το 2014'!E13+'κατά επαρχία και φύλο το 2014'!L13</f>
        <v>6882</v>
      </c>
      <c r="L13" s="32">
        <f>'κατά επαρχία και φύλο το 2014'!F13+'κατά επαρχία και φύλο το 2014'!M13</f>
        <v>2548</v>
      </c>
      <c r="M13" s="32">
        <f t="shared" ref="M13" si="11">SUM(H13:L13)</f>
        <v>22958</v>
      </c>
      <c r="N13" s="503">
        <f t="shared" ref="N13" si="12">+(M13/G13)-1</f>
        <v>-0.18847649346058681</v>
      </c>
      <c r="S13" s="105"/>
    </row>
    <row r="14" spans="1:19" ht="15.95" customHeight="1">
      <c r="A14" s="521" t="s">
        <v>49</v>
      </c>
      <c r="B14" s="260"/>
      <c r="C14" s="22"/>
      <c r="D14" s="22"/>
      <c r="E14" s="22"/>
      <c r="F14" s="22"/>
      <c r="G14" s="14"/>
      <c r="H14" s="33"/>
      <c r="I14" s="22"/>
      <c r="J14" s="22"/>
      <c r="K14" s="22"/>
      <c r="L14" s="22"/>
      <c r="M14" s="22"/>
      <c r="N14" s="128"/>
      <c r="S14" s="105"/>
    </row>
    <row r="15" spans="1:19" ht="20.25" customHeight="1" thickBot="1">
      <c r="A15" s="522"/>
      <c r="B15" s="203">
        <f t="shared" ref="B15:M15" si="13">AVERAGE(B8:B13)</f>
        <v>9858.3333333333339</v>
      </c>
      <c r="C15" s="203">
        <f t="shared" si="13"/>
        <v>5106.5</v>
      </c>
      <c r="D15" s="203">
        <f t="shared" si="13"/>
        <v>5226.166666666667</v>
      </c>
      <c r="E15" s="203">
        <f t="shared" si="13"/>
        <v>7990.333333333333</v>
      </c>
      <c r="F15" s="203">
        <f t="shared" si="13"/>
        <v>4496.833333333333</v>
      </c>
      <c r="G15" s="122">
        <f t="shared" si="13"/>
        <v>32678.166666666668</v>
      </c>
      <c r="H15" s="247">
        <f t="shared" si="13"/>
        <v>8879.8333333333339</v>
      </c>
      <c r="I15" s="203">
        <f t="shared" si="13"/>
        <v>4519.666666666667</v>
      </c>
      <c r="J15" s="203">
        <f t="shared" si="13"/>
        <v>5293.5</v>
      </c>
      <c r="K15" s="203">
        <f t="shared" si="13"/>
        <v>7596.333333333333</v>
      </c>
      <c r="L15" s="203">
        <f t="shared" si="13"/>
        <v>4504.166666666667</v>
      </c>
      <c r="M15" s="327">
        <f t="shared" si="13"/>
        <v>30793.5</v>
      </c>
      <c r="N15" s="328">
        <f t="shared" ref="N15:N21" si="14">+(M15/G15)-1</f>
        <v>-5.767357409891416E-2</v>
      </c>
      <c r="S15" s="105"/>
    </row>
    <row r="16" spans="1:19" ht="15.95" customHeight="1">
      <c r="A16" s="248" t="s">
        <v>29</v>
      </c>
      <c r="B16" s="71">
        <v>11246</v>
      </c>
      <c r="C16" s="32">
        <v>5045</v>
      </c>
      <c r="D16" s="32">
        <v>1649</v>
      </c>
      <c r="E16" s="32">
        <v>8810</v>
      </c>
      <c r="F16" s="32">
        <v>2778</v>
      </c>
      <c r="G16" s="343">
        <f t="shared" ref="G16:G21" si="15">SUM(B16:F16)</f>
        <v>29528</v>
      </c>
      <c r="H16" s="31">
        <f>'κατά επαρχία και φύλο το 2014'!B16+'κατά επαρχία και φύλο το 2014'!I16</f>
        <v>8511</v>
      </c>
      <c r="I16" s="32">
        <f>'κατά επαρχία και φύλο το 2014'!C16+'κατά επαρχία και φύλο το 2014'!J16</f>
        <v>3517</v>
      </c>
      <c r="J16" s="32">
        <f>'κατά επαρχία και φύλο το 2014'!D16+'κατά επαρχία και φύλο το 2014'!K16</f>
        <v>1199</v>
      </c>
      <c r="K16" s="32">
        <f>'κατά επαρχία και φύλο το 2014'!E16+'κατά επαρχία και φύλο το 2014'!L16</f>
        <v>6952</v>
      </c>
      <c r="L16" s="32">
        <f>'κατά επαρχία και φύλο το 2014'!F16+'κατά επαρχία και φύλο το 2014'!M16</f>
        <v>2411</v>
      </c>
      <c r="M16" s="32">
        <f t="shared" ref="M16:M21" si="16">SUM(H16:L16)</f>
        <v>22590</v>
      </c>
      <c r="N16" s="503">
        <f t="shared" si="14"/>
        <v>-0.23496342454619346</v>
      </c>
    </row>
    <row r="17" spans="1:14" ht="15.95" customHeight="1">
      <c r="A17" s="31" t="s">
        <v>7</v>
      </c>
      <c r="B17" s="71">
        <v>12062</v>
      </c>
      <c r="C17" s="28">
        <v>4978</v>
      </c>
      <c r="D17" s="28">
        <v>1619</v>
      </c>
      <c r="E17" s="32">
        <v>9026</v>
      </c>
      <c r="F17" s="32">
        <v>2660</v>
      </c>
      <c r="G17" s="343">
        <f t="shared" si="15"/>
        <v>30345</v>
      </c>
      <c r="H17" s="31">
        <f>'κατά επαρχία και φύλο το 2014'!B17+'κατά επαρχία και φύλο το 2014'!I17</f>
        <v>8181</v>
      </c>
      <c r="I17" s="32">
        <f>'κατά επαρχία και φύλο το 2014'!C17+'κατά επαρχία και φύλο το 2014'!J17</f>
        <v>3226</v>
      </c>
      <c r="J17" s="32">
        <f>'κατά επαρχία και φύλο το 2014'!D17+'κατά επαρχία και φύλο το 2014'!K17</f>
        <v>1126</v>
      </c>
      <c r="K17" s="32">
        <f>'κατά επαρχία και φύλο το 2014'!E17+'κατά επαρχία και φύλο το 2014'!L17</f>
        <v>6621</v>
      </c>
      <c r="L17" s="32">
        <f>'κατά επαρχία και φύλο το 2014'!F17+'κατά επαρχία και φύλο το 2014'!M17</f>
        <v>2278</v>
      </c>
      <c r="M17" s="32">
        <f t="shared" si="16"/>
        <v>21432</v>
      </c>
      <c r="N17" s="503">
        <f t="shared" si="14"/>
        <v>-0.29372219476025707</v>
      </c>
    </row>
    <row r="18" spans="1:14" ht="15.95" customHeight="1">
      <c r="A18" s="31" t="s">
        <v>30</v>
      </c>
      <c r="B18" s="71">
        <v>11702</v>
      </c>
      <c r="C18" s="32">
        <v>4975</v>
      </c>
      <c r="D18" s="32">
        <v>1615</v>
      </c>
      <c r="E18" s="32">
        <v>8679</v>
      </c>
      <c r="F18" s="32">
        <v>2579</v>
      </c>
      <c r="G18" s="343">
        <f t="shared" si="15"/>
        <v>29550</v>
      </c>
      <c r="H18" s="31">
        <f>'κατά επαρχία και φύλο το 2014'!B18+'κατά επαρχία και φύλο το 2014'!I18</f>
        <v>8074</v>
      </c>
      <c r="I18" s="32">
        <f>'κατά επαρχία και φύλο το 2014'!C18+'κατά επαρχία και φύλο το 2014'!J18</f>
        <v>3209</v>
      </c>
      <c r="J18" s="32">
        <f>'κατά επαρχία και φύλο το 2014'!D18+'κατά επαρχία και φύλο το 2014'!K18</f>
        <v>1186</v>
      </c>
      <c r="K18" s="32">
        <f>'κατά επαρχία και φύλο το 2014'!E18+'κατά επαρχία και φύλο το 2014'!L18</f>
        <v>6652</v>
      </c>
      <c r="L18" s="32">
        <f>'κατά επαρχία και φύλο το 2014'!F18+'κατά επαρχία και φύλο το 2014'!M18</f>
        <v>2379</v>
      </c>
      <c r="M18" s="32">
        <f t="shared" si="16"/>
        <v>21500</v>
      </c>
      <c r="N18" s="503">
        <f t="shared" si="14"/>
        <v>-0.27241962774957695</v>
      </c>
    </row>
    <row r="19" spans="1:14" ht="15.95" customHeight="1">
      <c r="A19" s="31" t="s">
        <v>31</v>
      </c>
      <c r="B19" s="71">
        <v>10643</v>
      </c>
      <c r="C19" s="32">
        <v>4408</v>
      </c>
      <c r="D19" s="32">
        <v>1690</v>
      </c>
      <c r="E19" s="32">
        <v>7902</v>
      </c>
      <c r="F19" s="32">
        <v>2450</v>
      </c>
      <c r="G19" s="32">
        <f t="shared" si="15"/>
        <v>27093</v>
      </c>
      <c r="H19" s="31">
        <f>'κατά επαρχία και φύλο το 2014'!B19+'κατά επαρχία και φύλο το 2014'!I19</f>
        <v>6304</v>
      </c>
      <c r="I19" s="32">
        <f>'κατά επαρχία και φύλο το 2014'!C19+'κατά επαρχία και φύλο το 2014'!J19</f>
        <v>2758</v>
      </c>
      <c r="J19" s="32">
        <f>'κατά επαρχία και φύλο το 2014'!D19+'κατά επαρχία και φύλο το 2014'!K19</f>
        <v>1357</v>
      </c>
      <c r="K19" s="32">
        <f>'κατά επαρχία και φύλο το 2014'!E19+'κατά επαρχία και φύλο το 2014'!L19</f>
        <v>5342</v>
      </c>
      <c r="L19" s="32">
        <f>'κατά επαρχία και φύλο το 2014'!F19+'κατά επαρχία και φύλο το 2014'!M19</f>
        <v>2176</v>
      </c>
      <c r="M19" s="32">
        <f t="shared" si="16"/>
        <v>17937</v>
      </c>
      <c r="N19" s="503">
        <f t="shared" si="14"/>
        <v>-0.33794707119920275</v>
      </c>
    </row>
    <row r="20" spans="1:14" ht="15.95" customHeight="1">
      <c r="A20" s="31" t="s">
        <v>32</v>
      </c>
      <c r="B20" s="71">
        <v>9766</v>
      </c>
      <c r="C20" s="32">
        <v>4882</v>
      </c>
      <c r="D20" s="32">
        <v>6240</v>
      </c>
      <c r="E20" s="32">
        <v>7759</v>
      </c>
      <c r="F20" s="32">
        <v>3996</v>
      </c>
      <c r="G20" s="32">
        <f t="shared" si="15"/>
        <v>32643</v>
      </c>
      <c r="H20" s="31">
        <f>'κατά επαρχία και φύλο το 2014'!B20+'κατά επαρχία και φύλο το 2014'!I20</f>
        <v>5779</v>
      </c>
      <c r="I20" s="32">
        <f>'κατά επαρχία και φύλο το 2014'!C20+'κατά επαρχία και φύλο το 2014'!J20</f>
        <v>3482</v>
      </c>
      <c r="J20" s="32">
        <f>'κατά επαρχία και φύλο το 2014'!D20+'κατά επαρχία και φύλο το 2014'!K20</f>
        <v>6652</v>
      </c>
      <c r="K20" s="32">
        <f>'κατά επαρχία και φύλο το 2014'!E20+'κατά επαρχία και φύλο το 2014'!L20</f>
        <v>5701</v>
      </c>
      <c r="L20" s="32">
        <f>'κατά επαρχία και φύλο το 2014'!F20+'κατά επαρχία και φύλο το 2014'!M20</f>
        <v>4200</v>
      </c>
      <c r="M20" s="32">
        <f t="shared" si="16"/>
        <v>25814</v>
      </c>
      <c r="N20" s="503">
        <f t="shared" si="14"/>
        <v>-0.20920258554667159</v>
      </c>
    </row>
    <row r="21" spans="1:14" ht="15.95" customHeight="1" thickBot="1">
      <c r="A21" s="251" t="s">
        <v>33</v>
      </c>
      <c r="B21" s="71">
        <v>9839</v>
      </c>
      <c r="C21" s="32">
        <v>5291</v>
      </c>
      <c r="D21" s="32">
        <v>7676</v>
      </c>
      <c r="E21" s="32">
        <v>8216</v>
      </c>
      <c r="F21" s="32">
        <v>5694</v>
      </c>
      <c r="G21" s="32">
        <f t="shared" si="15"/>
        <v>36716</v>
      </c>
      <c r="H21" s="31">
        <f>'κατά επαρχία και φύλο το 2014'!B21+'κατά επαρχία και φύλο το 2014'!I21</f>
        <v>5832</v>
      </c>
      <c r="I21" s="32">
        <f>'κατά επαρχία και φύλο το 2014'!C21+'κατά επαρχία και φύλο το 2014'!J21</f>
        <v>4033</v>
      </c>
      <c r="J21" s="32">
        <f>'κατά επαρχία και φύλο το 2014'!D21+'κατά επαρχία και φύλο το 2014'!K21</f>
        <v>8095</v>
      </c>
      <c r="K21" s="32">
        <f>'κατά επαρχία και φύλο το 2014'!E21+'κατά επαρχία και φύλο το 2014'!L21</f>
        <v>5962</v>
      </c>
      <c r="L21" s="32">
        <f>'κατά επαρχία και φύλο το 2014'!F21+'κατά επαρχία και φύλο το 2014'!M21</f>
        <v>5715</v>
      </c>
      <c r="M21" s="32">
        <f t="shared" si="16"/>
        <v>29637</v>
      </c>
      <c r="N21" s="503">
        <f t="shared" si="14"/>
        <v>-0.19280422703998257</v>
      </c>
    </row>
    <row r="22" spans="1:14" ht="15.95" customHeight="1">
      <c r="A22" s="521" t="s">
        <v>47</v>
      </c>
      <c r="B22" s="62"/>
      <c r="C22" s="22"/>
      <c r="D22" s="22"/>
      <c r="E22" s="22"/>
      <c r="F22" s="22"/>
      <c r="G22" s="14"/>
      <c r="H22" s="21"/>
      <c r="I22" s="22"/>
      <c r="J22" s="22"/>
      <c r="K22" s="22"/>
      <c r="L22" s="22"/>
      <c r="M22" s="62"/>
      <c r="N22" s="128"/>
    </row>
    <row r="23" spans="1:14" ht="21" customHeight="1" thickBot="1">
      <c r="A23" s="522"/>
      <c r="B23" s="203">
        <f t="shared" ref="B23:M23" si="17">AVERAGE(B16:B21)</f>
        <v>10876.333333333334</v>
      </c>
      <c r="C23" s="203">
        <f t="shared" si="17"/>
        <v>4929.833333333333</v>
      </c>
      <c r="D23" s="203">
        <f t="shared" si="17"/>
        <v>3414.8333333333335</v>
      </c>
      <c r="E23" s="203">
        <f t="shared" si="17"/>
        <v>8398.6666666666661</v>
      </c>
      <c r="F23" s="203">
        <f t="shared" si="17"/>
        <v>3359.5</v>
      </c>
      <c r="G23" s="510">
        <f t="shared" si="17"/>
        <v>30979.166666666668</v>
      </c>
      <c r="H23" s="203">
        <f t="shared" si="17"/>
        <v>7113.5</v>
      </c>
      <c r="I23" s="203">
        <f t="shared" si="17"/>
        <v>3370.8333333333335</v>
      </c>
      <c r="J23" s="203">
        <f t="shared" si="17"/>
        <v>3269.1666666666665</v>
      </c>
      <c r="K23" s="203">
        <f t="shared" si="17"/>
        <v>6205</v>
      </c>
      <c r="L23" s="203">
        <f>AVERAGE(L16:L21)</f>
        <v>3193.1666666666665</v>
      </c>
      <c r="M23" s="203">
        <f t="shared" si="17"/>
        <v>23151.666666666668</v>
      </c>
      <c r="N23" s="514">
        <f t="shared" ref="N23" si="18">+(M23/G23)-1</f>
        <v>-0.25266980497646263</v>
      </c>
    </row>
    <row r="24" spans="1:14" ht="15.95" customHeight="1">
      <c r="A24" s="521" t="s">
        <v>52</v>
      </c>
      <c r="B24" s="358"/>
      <c r="C24" s="358"/>
      <c r="D24" s="359"/>
      <c r="E24" s="359"/>
      <c r="F24" s="359"/>
      <c r="G24" s="360"/>
      <c r="H24" s="361"/>
      <c r="I24" s="358"/>
      <c r="J24" s="359"/>
      <c r="K24" s="359"/>
      <c r="L24" s="359"/>
      <c r="M24" s="358"/>
      <c r="N24" s="362"/>
    </row>
    <row r="25" spans="1:14" ht="15.95" customHeight="1" thickBot="1">
      <c r="A25" s="522"/>
      <c r="B25" s="203">
        <f t="shared" ref="B25:M25" si="19">AVERAGE(B8:B13,B16:B21)</f>
        <v>10367.333333333334</v>
      </c>
      <c r="C25" s="203">
        <f t="shared" si="19"/>
        <v>5018.166666666667</v>
      </c>
      <c r="D25" s="203">
        <f t="shared" si="19"/>
        <v>4320.5</v>
      </c>
      <c r="E25" s="203">
        <f t="shared" si="19"/>
        <v>8194.5</v>
      </c>
      <c r="F25" s="203">
        <f t="shared" si="19"/>
        <v>3928.1666666666665</v>
      </c>
      <c r="G25" s="124">
        <f t="shared" si="19"/>
        <v>31828.666666666668</v>
      </c>
      <c r="H25" s="247">
        <f t="shared" si="19"/>
        <v>7996.666666666667</v>
      </c>
      <c r="I25" s="203">
        <f t="shared" si="19"/>
        <v>3945.25</v>
      </c>
      <c r="J25" s="203">
        <f t="shared" si="19"/>
        <v>4281.333333333333</v>
      </c>
      <c r="K25" s="203">
        <f t="shared" si="19"/>
        <v>6900.666666666667</v>
      </c>
      <c r="L25" s="203">
        <f>AVERAGE(L8:L13,L16:L21)</f>
        <v>3848.6666666666665</v>
      </c>
      <c r="M25" s="203">
        <f t="shared" si="19"/>
        <v>26972.583333333332</v>
      </c>
      <c r="N25" s="204">
        <f>M25/G25-1</f>
        <v>-0.15256948662631176</v>
      </c>
    </row>
    <row r="26" spans="1:14">
      <c r="A26" s="17"/>
      <c r="B26" s="17"/>
      <c r="C26" s="20"/>
      <c r="D26" s="17"/>
      <c r="E26" s="17"/>
      <c r="F26" s="17"/>
      <c r="G26" s="17"/>
      <c r="H26" s="17"/>
      <c r="I26" s="17"/>
      <c r="J26" s="1"/>
      <c r="K26" s="1"/>
      <c r="L26" s="1"/>
      <c r="M26" s="1"/>
      <c r="N26" s="1"/>
    </row>
    <row r="27" spans="1:14">
      <c r="A27" s="34"/>
      <c r="B27" s="20"/>
      <c r="C27" s="17"/>
      <c r="D27" s="17"/>
      <c r="E27" s="17"/>
      <c r="F27" s="17"/>
      <c r="G27" s="17"/>
      <c r="H27" s="17"/>
      <c r="I27" s="17"/>
      <c r="J27" s="1"/>
      <c r="K27" s="1"/>
      <c r="L27" s="1"/>
      <c r="M27" s="1"/>
      <c r="N27" s="1"/>
    </row>
    <row r="28" spans="1:14">
      <c r="A28" s="34"/>
      <c r="B28" s="20"/>
      <c r="C28" s="17"/>
      <c r="D28" s="17"/>
      <c r="E28" s="17"/>
      <c r="F28" s="17"/>
      <c r="G28" s="17"/>
      <c r="H28" s="17"/>
      <c r="I28" s="17"/>
      <c r="J28" s="1"/>
      <c r="K28" s="1"/>
      <c r="L28" s="1"/>
      <c r="M28" s="1"/>
      <c r="N28" s="1"/>
    </row>
    <row r="29" spans="1:14">
      <c r="A29" s="1"/>
      <c r="B29" s="20"/>
      <c r="C29" s="17"/>
      <c r="D29" s="17"/>
      <c r="E29" s="17"/>
      <c r="F29" s="17"/>
      <c r="G29" s="17"/>
      <c r="H29" s="17"/>
      <c r="I29" s="17"/>
      <c r="J29" s="1"/>
      <c r="K29" s="1"/>
      <c r="L29" s="2" t="s">
        <v>15</v>
      </c>
      <c r="M29" s="1"/>
      <c r="N29" s="1"/>
    </row>
    <row r="30" spans="1:14">
      <c r="A30" s="82">
        <f>'κατά επαρχία και φύλο το 2014'!A29</f>
        <v>42054</v>
      </c>
      <c r="B30" s="20"/>
      <c r="C30" s="35"/>
      <c r="D30" s="17"/>
      <c r="E30" s="17"/>
      <c r="F30" s="17"/>
      <c r="G30" s="17"/>
      <c r="H30" s="17"/>
      <c r="I30" s="17"/>
      <c r="J30" s="1"/>
      <c r="K30" s="20" t="s">
        <v>14</v>
      </c>
      <c r="L30" s="2"/>
      <c r="M30" s="1"/>
      <c r="N30" s="1"/>
    </row>
    <row r="31" spans="1:14">
      <c r="A31" s="4"/>
      <c r="B31" s="20"/>
      <c r="C31" s="17"/>
      <c r="D31" s="17"/>
      <c r="E31" s="17"/>
      <c r="F31" s="17"/>
      <c r="G31" s="17"/>
      <c r="H31" s="17"/>
      <c r="I31" s="17"/>
      <c r="J31" s="1"/>
      <c r="K31" s="48"/>
      <c r="L31" s="4"/>
      <c r="M31" s="1"/>
      <c r="N31" s="1"/>
    </row>
    <row r="32" spans="1:14">
      <c r="A32" s="42"/>
      <c r="B32" s="20"/>
      <c r="C32" s="17"/>
      <c r="D32" s="17"/>
      <c r="E32" s="17"/>
      <c r="F32" s="17"/>
      <c r="G32" s="17"/>
      <c r="H32" s="17"/>
      <c r="I32" s="36"/>
      <c r="J32" s="49"/>
      <c r="K32" s="48"/>
      <c r="L32" s="4"/>
      <c r="M32" s="4"/>
      <c r="N32" s="1"/>
    </row>
    <row r="33" spans="2:2">
      <c r="B33" t="s">
        <v>38</v>
      </c>
    </row>
  </sheetData>
  <mergeCells count="8">
    <mergeCell ref="L1:N1"/>
    <mergeCell ref="A14:A15"/>
    <mergeCell ref="A22:A23"/>
    <mergeCell ref="A24:A25"/>
    <mergeCell ref="A2:N2"/>
    <mergeCell ref="A3:N3"/>
    <mergeCell ref="B5:G5"/>
    <mergeCell ref="H5:M5"/>
  </mergeCells>
  <phoneticPr fontId="10" type="noConversion"/>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33"/>
  <sheetViews>
    <sheetView zoomScaleNormal="100" workbookViewId="0">
      <selection activeCell="M23" sqref="M23"/>
    </sheetView>
  </sheetViews>
  <sheetFormatPr defaultRowHeight="12.75"/>
  <cols>
    <col min="1" max="1" width="13.5703125" customWidth="1"/>
    <col min="2" max="11" width="10.7109375" customWidth="1"/>
  </cols>
  <sheetData>
    <row r="1" spans="1:12">
      <c r="A1" s="427" t="s">
        <v>105</v>
      </c>
      <c r="B1" s="48"/>
      <c r="C1" s="48"/>
      <c r="D1" s="48"/>
      <c r="E1" s="48"/>
      <c r="F1" s="48"/>
      <c r="G1" s="48"/>
      <c r="H1" s="48"/>
      <c r="I1" s="48"/>
      <c r="J1" s="48"/>
      <c r="K1" s="48"/>
    </row>
    <row r="2" spans="1:12">
      <c r="A2" s="532" t="s">
        <v>111</v>
      </c>
      <c r="B2" s="532"/>
      <c r="C2" s="532"/>
      <c r="D2" s="532"/>
      <c r="E2" s="532"/>
      <c r="F2" s="532"/>
      <c r="G2" s="532"/>
      <c r="H2" s="532"/>
      <c r="I2" s="532"/>
      <c r="J2" s="532"/>
      <c r="K2" s="532"/>
      <c r="L2" s="104"/>
    </row>
    <row r="3" spans="1:12">
      <c r="A3" s="526" t="s">
        <v>129</v>
      </c>
      <c r="B3" s="526"/>
      <c r="C3" s="526"/>
      <c r="D3" s="526"/>
      <c r="E3" s="526"/>
      <c r="F3" s="526"/>
      <c r="G3" s="526"/>
      <c r="H3" s="526"/>
      <c r="I3" s="526"/>
      <c r="J3" s="526"/>
      <c r="K3" s="526"/>
      <c r="L3" s="2"/>
    </row>
    <row r="4" spans="1:12" ht="13.5" thickBot="1">
      <c r="A4" s="1"/>
      <c r="B4" s="2"/>
      <c r="C4" s="2"/>
      <c r="D4" s="1"/>
      <c r="E4" s="1"/>
      <c r="F4" s="1"/>
      <c r="G4" s="1"/>
      <c r="H4" s="1"/>
      <c r="I4" s="1"/>
      <c r="J4" s="1"/>
      <c r="K4" s="1"/>
      <c r="L4" s="2"/>
    </row>
    <row r="5" spans="1:12">
      <c r="A5" s="389"/>
      <c r="B5" s="12"/>
      <c r="C5" s="12"/>
      <c r="D5" s="13">
        <v>2013</v>
      </c>
      <c r="E5" s="12"/>
      <c r="F5" s="15"/>
      <c r="G5" s="12"/>
      <c r="H5" s="12"/>
      <c r="I5" s="13">
        <v>2014</v>
      </c>
      <c r="J5" s="12"/>
      <c r="K5" s="15"/>
      <c r="L5" s="16"/>
    </row>
    <row r="6" spans="1:12">
      <c r="A6" s="390" t="s">
        <v>0</v>
      </c>
      <c r="B6" s="133"/>
      <c r="C6" s="133"/>
      <c r="D6" s="134"/>
      <c r="E6" s="133"/>
      <c r="F6" s="135"/>
      <c r="G6" s="133"/>
      <c r="H6" s="133"/>
      <c r="I6" s="134"/>
      <c r="J6" s="133"/>
      <c r="K6" s="135"/>
      <c r="L6" s="20"/>
    </row>
    <row r="7" spans="1:12" ht="15.95" customHeight="1">
      <c r="A7" s="391"/>
      <c r="B7" s="75" t="s">
        <v>10</v>
      </c>
      <c r="C7" s="56" t="s">
        <v>12</v>
      </c>
      <c r="D7" s="56" t="s">
        <v>11</v>
      </c>
      <c r="E7" s="56" t="s">
        <v>12</v>
      </c>
      <c r="F7" s="280" t="s">
        <v>6</v>
      </c>
      <c r="G7" s="75" t="s">
        <v>10</v>
      </c>
      <c r="H7" s="56" t="s">
        <v>12</v>
      </c>
      <c r="I7" s="56" t="s">
        <v>11</v>
      </c>
      <c r="J7" s="56" t="s">
        <v>12</v>
      </c>
      <c r="K7" s="280" t="s">
        <v>6</v>
      </c>
      <c r="L7" s="17"/>
    </row>
    <row r="8" spans="1:12" ht="15.95" customHeight="1">
      <c r="A8" s="392" t="s">
        <v>23</v>
      </c>
      <c r="B8" s="43">
        <v>18626</v>
      </c>
      <c r="C8" s="27">
        <f t="shared" ref="C8:C13" si="0">+B8/F8</f>
        <v>0.51077716228815884</v>
      </c>
      <c r="D8" s="28">
        <v>17840</v>
      </c>
      <c r="E8" s="27">
        <f t="shared" ref="E8:E13" si="1">+D8/F8</f>
        <v>0.48922283771184116</v>
      </c>
      <c r="F8" s="29">
        <f t="shared" ref="F8:F13" si="2">SUM(B8+D8)</f>
        <v>36466</v>
      </c>
      <c r="G8" s="43">
        <f>'κατά επαρχία και φύλο το 2014'!G8</f>
        <v>19228</v>
      </c>
      <c r="H8" s="27">
        <f t="shared" ref="H8" si="3">+G8/K8</f>
        <v>0.50160436177705892</v>
      </c>
      <c r="I8" s="28">
        <f>'κατά επαρχία και φύλο το 2014'!N8</f>
        <v>19105</v>
      </c>
      <c r="J8" s="27">
        <f t="shared" ref="J8" si="4">+I8/K8</f>
        <v>0.49839563822294108</v>
      </c>
      <c r="K8" s="29">
        <f t="shared" ref="K8" si="5">SUM(G8+I8)</f>
        <v>38333</v>
      </c>
      <c r="L8" s="30"/>
    </row>
    <row r="9" spans="1:12" ht="15.95" customHeight="1">
      <c r="A9" s="393" t="s">
        <v>24</v>
      </c>
      <c r="B9" s="43">
        <v>18594</v>
      </c>
      <c r="C9" s="27">
        <f t="shared" si="0"/>
        <v>0.51349037585264146</v>
      </c>
      <c r="D9" s="28">
        <v>17617</v>
      </c>
      <c r="E9" s="27">
        <f t="shared" si="1"/>
        <v>0.48650962414735854</v>
      </c>
      <c r="F9" s="29">
        <f t="shared" si="2"/>
        <v>36211</v>
      </c>
      <c r="G9" s="43">
        <f>'κατά επαρχία και φύλο το 2014'!G9</f>
        <v>18469</v>
      </c>
      <c r="H9" s="27">
        <f t="shared" ref="H9" si="6">+G9/K9</f>
        <v>0.5005013414270616</v>
      </c>
      <c r="I9" s="28">
        <f>'κατά επαρχία και φύλο το 2014'!N9</f>
        <v>18432</v>
      </c>
      <c r="J9" s="27">
        <f t="shared" ref="J9" si="7">+I9/K9</f>
        <v>0.4994986585729384</v>
      </c>
      <c r="K9" s="29">
        <f t="shared" ref="K9" si="8">SUM(G9+I9)</f>
        <v>36901</v>
      </c>
      <c r="L9" s="30"/>
    </row>
    <row r="10" spans="1:12" ht="15.95" customHeight="1">
      <c r="A10" s="393" t="s">
        <v>25</v>
      </c>
      <c r="B10" s="71">
        <v>18154</v>
      </c>
      <c r="C10" s="27">
        <f t="shared" si="0"/>
        <v>0.51524096043594259</v>
      </c>
      <c r="D10" s="28">
        <v>17080</v>
      </c>
      <c r="E10" s="27">
        <f t="shared" si="1"/>
        <v>0.48475903956405747</v>
      </c>
      <c r="F10" s="29">
        <f t="shared" si="2"/>
        <v>35234</v>
      </c>
      <c r="G10" s="43">
        <f>'κατά επαρχία και φύλο το 2014'!G10</f>
        <v>17621</v>
      </c>
      <c r="H10" s="27">
        <f t="shared" ref="H10" si="9">+G10/K10</f>
        <v>0.50322709618460137</v>
      </c>
      <c r="I10" s="28">
        <f>'κατά επαρχία και φύλο το 2014'!N10</f>
        <v>17395</v>
      </c>
      <c r="J10" s="27">
        <f t="shared" ref="J10" si="10">+I10/K10</f>
        <v>0.49677290381539868</v>
      </c>
      <c r="K10" s="29">
        <f t="shared" ref="K10" si="11">SUM(G10+I10)</f>
        <v>35016</v>
      </c>
      <c r="L10" s="30"/>
    </row>
    <row r="11" spans="1:12" ht="15.95" customHeight="1">
      <c r="A11" s="393" t="s">
        <v>26</v>
      </c>
      <c r="B11" s="43">
        <v>17133</v>
      </c>
      <c r="C11" s="27">
        <f t="shared" si="0"/>
        <v>0.53730360334932736</v>
      </c>
      <c r="D11" s="28">
        <v>14754</v>
      </c>
      <c r="E11" s="27">
        <f t="shared" si="1"/>
        <v>0.46269639665067269</v>
      </c>
      <c r="F11" s="29">
        <f t="shared" si="2"/>
        <v>31887</v>
      </c>
      <c r="G11" s="43">
        <f>'κατά επαρχία και φύλο το 2014'!G11</f>
        <v>14647</v>
      </c>
      <c r="H11" s="27">
        <f t="shared" ref="H11" si="12">+G11/K11</f>
        <v>0.51906584449642068</v>
      </c>
      <c r="I11" s="28">
        <f>'κατά επαρχία και φύλο το 2014'!N11</f>
        <v>13571</v>
      </c>
      <c r="J11" s="27">
        <f t="shared" ref="J11" si="13">+I11/K11</f>
        <v>0.48093415550357926</v>
      </c>
      <c r="K11" s="29">
        <f t="shared" ref="K11" si="14">SUM(G11+I11)</f>
        <v>28218</v>
      </c>
      <c r="L11" s="30"/>
    </row>
    <row r="12" spans="1:12" ht="15.95" customHeight="1">
      <c r="A12" s="393" t="s">
        <v>27</v>
      </c>
      <c r="B12" s="71">
        <v>15562</v>
      </c>
      <c r="C12" s="27">
        <f t="shared" si="0"/>
        <v>0.55616311068224866</v>
      </c>
      <c r="D12" s="28">
        <v>12419</v>
      </c>
      <c r="E12" s="27">
        <f t="shared" si="1"/>
        <v>0.44383688931775134</v>
      </c>
      <c r="F12" s="29">
        <f t="shared" si="2"/>
        <v>27981</v>
      </c>
      <c r="G12" s="43">
        <f>'κατά επαρχία και φύλο το 2014'!G12</f>
        <v>12443</v>
      </c>
      <c r="H12" s="27">
        <f t="shared" ref="H12" si="15">+G12/K12</f>
        <v>0.53323334047568027</v>
      </c>
      <c r="I12" s="28">
        <f>'κατά επαρχία και φύλο το 2014'!N12</f>
        <v>10892</v>
      </c>
      <c r="J12" s="27">
        <f t="shared" ref="J12" si="16">+I12/K12</f>
        <v>0.46676665952431967</v>
      </c>
      <c r="K12" s="29">
        <f t="shared" ref="K12" si="17">SUM(G12+I12)</f>
        <v>23335</v>
      </c>
      <c r="L12" s="30"/>
    </row>
    <row r="13" spans="1:12" ht="15.95" customHeight="1" thickBot="1">
      <c r="A13" s="394" t="s">
        <v>28</v>
      </c>
      <c r="B13" s="43">
        <v>14881</v>
      </c>
      <c r="C13" s="27">
        <f t="shared" si="0"/>
        <v>0.52601626016260161</v>
      </c>
      <c r="D13" s="28">
        <v>13409</v>
      </c>
      <c r="E13" s="27">
        <f t="shared" si="1"/>
        <v>0.47398373983739839</v>
      </c>
      <c r="F13" s="29">
        <f t="shared" si="2"/>
        <v>28290</v>
      </c>
      <c r="G13" s="43">
        <f>'κατά επαρχία και φύλο το 2014'!G13</f>
        <v>11041</v>
      </c>
      <c r="H13" s="27">
        <f t="shared" ref="H13" si="18">+G13/K13</f>
        <v>0.48092168307343847</v>
      </c>
      <c r="I13" s="28">
        <f>'κατά επαρχία και φύλο το 2014'!N13</f>
        <v>11917</v>
      </c>
      <c r="J13" s="27">
        <f t="shared" ref="J13" si="19">+I13/K13</f>
        <v>0.51907831692656159</v>
      </c>
      <c r="K13" s="29">
        <f t="shared" ref="K13" si="20">SUM(G13+I13)</f>
        <v>22958</v>
      </c>
      <c r="L13" s="30"/>
    </row>
    <row r="14" spans="1:12" ht="15.95" customHeight="1">
      <c r="A14" s="533" t="s">
        <v>53</v>
      </c>
      <c r="B14" s="222"/>
      <c r="C14" s="22"/>
      <c r="D14" s="12"/>
      <c r="E14" s="22"/>
      <c r="F14" s="14"/>
      <c r="G14" s="222"/>
      <c r="H14" s="22"/>
      <c r="I14" s="12"/>
      <c r="J14" s="22"/>
      <c r="K14" s="14"/>
      <c r="L14" s="17"/>
    </row>
    <row r="15" spans="1:12" ht="22.5" customHeight="1" thickBot="1">
      <c r="A15" s="534"/>
      <c r="B15" s="122">
        <f>AVERAGE(B8:B13)</f>
        <v>17158.333333333332</v>
      </c>
      <c r="C15" s="123">
        <f t="shared" ref="C15:C21" si="21">+B15/F15</f>
        <v>0.52507025587930778</v>
      </c>
      <c r="D15" s="122">
        <f>AVERAGE(D8:D13)</f>
        <v>15519.833333333334</v>
      </c>
      <c r="E15" s="123">
        <f t="shared" ref="E15:E21" si="22">+D15/F15</f>
        <v>0.47492974412069222</v>
      </c>
      <c r="F15" s="124">
        <f>AVERAGE(F8:F13)</f>
        <v>32678.166666666668</v>
      </c>
      <c r="G15" s="122">
        <f>AVERAGE(G8:G13)</f>
        <v>15574.833333333334</v>
      </c>
      <c r="H15" s="123">
        <f t="shared" ref="H15:H21" si="23">+G15/K15</f>
        <v>0.50578314687623471</v>
      </c>
      <c r="I15" s="122">
        <f>AVERAGE(I8:I13)</f>
        <v>15218.666666666666</v>
      </c>
      <c r="J15" s="123">
        <f t="shared" ref="J15:J21" si="24">+I15/K15</f>
        <v>0.49421685312376529</v>
      </c>
      <c r="K15" s="124">
        <f>AVERAGE(K8:K13)</f>
        <v>30793.5</v>
      </c>
      <c r="L15" s="30"/>
    </row>
    <row r="16" spans="1:12" ht="15.95" customHeight="1">
      <c r="A16" s="395" t="s">
        <v>29</v>
      </c>
      <c r="B16" s="43">
        <v>14572</v>
      </c>
      <c r="C16" s="99">
        <f t="shared" si="21"/>
        <v>0.49349769710105662</v>
      </c>
      <c r="D16" s="28">
        <v>14956</v>
      </c>
      <c r="E16" s="99">
        <f t="shared" si="22"/>
        <v>0.50650230289894338</v>
      </c>
      <c r="F16" s="29">
        <f t="shared" ref="F16:F21" si="25">SUM(B16+D16)</f>
        <v>29528</v>
      </c>
      <c r="G16" s="43">
        <f>'κατά επαρχία και φύλο το 2014'!G16</f>
        <v>10089</v>
      </c>
      <c r="H16" s="27">
        <f t="shared" si="23"/>
        <v>0.44661354581673307</v>
      </c>
      <c r="I16" s="28">
        <f>'κατά επαρχία και φύλο το 2014'!N16</f>
        <v>12501</v>
      </c>
      <c r="J16" s="27">
        <f t="shared" si="24"/>
        <v>0.55338645418326693</v>
      </c>
      <c r="K16" s="29">
        <f t="shared" ref="K16:K21" si="26">SUM(G16+I16)</f>
        <v>22590</v>
      </c>
      <c r="L16" s="30"/>
    </row>
    <row r="17" spans="1:12" ht="15.95" customHeight="1">
      <c r="A17" s="393" t="s">
        <v>7</v>
      </c>
      <c r="B17" s="43">
        <v>14462</v>
      </c>
      <c r="C17" s="27">
        <f t="shared" si="21"/>
        <v>0.47658592848904269</v>
      </c>
      <c r="D17" s="28">
        <v>15883</v>
      </c>
      <c r="E17" s="27">
        <f t="shared" si="22"/>
        <v>0.52341407151095731</v>
      </c>
      <c r="F17" s="29">
        <f t="shared" si="25"/>
        <v>30345</v>
      </c>
      <c r="G17" s="43">
        <f>'κατά επαρχία και φύλο το 2014'!G17</f>
        <v>9389</v>
      </c>
      <c r="H17" s="27">
        <f t="shared" si="23"/>
        <v>0.43808324001493093</v>
      </c>
      <c r="I17" s="28">
        <f>'κατά επαρχία και φύλο το 2014'!N17</f>
        <v>12043</v>
      </c>
      <c r="J17" s="27">
        <f t="shared" si="24"/>
        <v>0.56191675998506907</v>
      </c>
      <c r="K17" s="29">
        <f t="shared" si="26"/>
        <v>21432</v>
      </c>
      <c r="L17" s="30"/>
    </row>
    <row r="18" spans="1:12" ht="15.95" customHeight="1">
      <c r="A18" s="393" t="s">
        <v>30</v>
      </c>
      <c r="B18" s="43">
        <v>13959</v>
      </c>
      <c r="C18" s="27">
        <f t="shared" si="21"/>
        <v>0.47238578680203047</v>
      </c>
      <c r="D18" s="28">
        <v>15591</v>
      </c>
      <c r="E18" s="27">
        <f t="shared" si="22"/>
        <v>0.52761421319796953</v>
      </c>
      <c r="F18" s="29">
        <f t="shared" si="25"/>
        <v>29550</v>
      </c>
      <c r="G18" s="43">
        <f>'κατά επαρχία και φύλο το 2014'!G18</f>
        <v>9459</v>
      </c>
      <c r="H18" s="27">
        <f t="shared" si="23"/>
        <v>0.43995348837209303</v>
      </c>
      <c r="I18" s="28">
        <f>'κατά επαρχία και φύλο το 2014'!N18</f>
        <v>12041</v>
      </c>
      <c r="J18" s="27">
        <f t="shared" si="24"/>
        <v>0.56004651162790697</v>
      </c>
      <c r="K18" s="29">
        <f t="shared" si="26"/>
        <v>21500</v>
      </c>
      <c r="L18" s="30"/>
    </row>
    <row r="19" spans="1:12" ht="15.95" customHeight="1">
      <c r="A19" s="393" t="s">
        <v>31</v>
      </c>
      <c r="B19" s="43">
        <v>13850</v>
      </c>
      <c r="C19" s="27">
        <f t="shared" si="21"/>
        <v>0.51120215553833093</v>
      </c>
      <c r="D19" s="28">
        <v>13243</v>
      </c>
      <c r="E19" s="27">
        <f t="shared" si="22"/>
        <v>0.48879784446166907</v>
      </c>
      <c r="F19" s="29">
        <f t="shared" si="25"/>
        <v>27093</v>
      </c>
      <c r="G19" s="43">
        <f>'κατά επαρχία και φύλο το 2014'!G19</f>
        <v>8943</v>
      </c>
      <c r="H19" s="27">
        <f t="shared" si="23"/>
        <v>0.49857835758488039</v>
      </c>
      <c r="I19" s="28">
        <f>'κατά επαρχία και φύλο το 2014'!N19</f>
        <v>8994</v>
      </c>
      <c r="J19" s="27">
        <f t="shared" si="24"/>
        <v>0.50142164241511955</v>
      </c>
      <c r="K19" s="29">
        <f t="shared" si="26"/>
        <v>17937</v>
      </c>
      <c r="L19" s="30"/>
    </row>
    <row r="20" spans="1:12" ht="15.95" customHeight="1">
      <c r="A20" s="393" t="s">
        <v>32</v>
      </c>
      <c r="B20" s="43">
        <v>16516</v>
      </c>
      <c r="C20" s="27">
        <f t="shared" si="21"/>
        <v>0.50595839843151669</v>
      </c>
      <c r="D20" s="28">
        <v>16127</v>
      </c>
      <c r="E20" s="27">
        <f t="shared" si="22"/>
        <v>0.49404160156848331</v>
      </c>
      <c r="F20" s="29">
        <f t="shared" si="25"/>
        <v>32643</v>
      </c>
      <c r="G20" s="43">
        <f>'κατά επαρχία και φύλο το 2014'!G20</f>
        <v>12842</v>
      </c>
      <c r="H20" s="27">
        <f t="shared" si="23"/>
        <v>0.49748198651894321</v>
      </c>
      <c r="I20" s="28">
        <f>'κατά επαρχία και φύλο το 2014'!N20</f>
        <v>12972</v>
      </c>
      <c r="J20" s="27">
        <f t="shared" si="24"/>
        <v>0.50251801348105674</v>
      </c>
      <c r="K20" s="29">
        <f t="shared" si="26"/>
        <v>25814</v>
      </c>
      <c r="L20" s="30"/>
    </row>
    <row r="21" spans="1:12" ht="15.95" customHeight="1" thickBot="1">
      <c r="A21" s="396" t="s">
        <v>33</v>
      </c>
      <c r="B21" s="43">
        <v>18394</v>
      </c>
      <c r="C21" s="27">
        <f t="shared" si="21"/>
        <v>0.50098049896502883</v>
      </c>
      <c r="D21" s="28">
        <v>18322</v>
      </c>
      <c r="E21" s="27">
        <f t="shared" si="22"/>
        <v>0.49901950103497111</v>
      </c>
      <c r="F21" s="29">
        <f t="shared" si="25"/>
        <v>36716</v>
      </c>
      <c r="G21" s="43">
        <f>'κατά επαρχία και φύλο το 2014'!G21</f>
        <v>14566</v>
      </c>
      <c r="H21" s="27">
        <f t="shared" si="23"/>
        <v>0.49148024428923304</v>
      </c>
      <c r="I21" s="28">
        <f>'κατά επαρχία και φύλο το 2014'!N21</f>
        <v>15071</v>
      </c>
      <c r="J21" s="27">
        <f t="shared" si="24"/>
        <v>0.50851975571076691</v>
      </c>
      <c r="K21" s="29">
        <f t="shared" si="26"/>
        <v>29637</v>
      </c>
      <c r="L21" s="30"/>
    </row>
    <row r="22" spans="1:12" ht="15.95" customHeight="1">
      <c r="A22" s="533" t="s">
        <v>51</v>
      </c>
      <c r="B22" s="62"/>
      <c r="C22" s="22"/>
      <c r="D22" s="62"/>
      <c r="E22" s="62"/>
      <c r="F22" s="23"/>
      <c r="G22" s="62"/>
      <c r="H22" s="22"/>
      <c r="I22" s="62"/>
      <c r="J22" s="62"/>
      <c r="K22" s="23"/>
      <c r="L22" s="26"/>
    </row>
    <row r="23" spans="1:12" ht="32.25" customHeight="1" thickBot="1">
      <c r="A23" s="534"/>
      <c r="B23" s="9">
        <f>AVERAGE(B16:B21)</f>
        <v>15292.166666666666</v>
      </c>
      <c r="C23" s="27">
        <f>+B23/F23</f>
        <v>0.49362743779421653</v>
      </c>
      <c r="D23" s="9">
        <f>AVERAGE(D16:D21)</f>
        <v>15687</v>
      </c>
      <c r="E23" s="27">
        <f>+D23/F23</f>
        <v>0.50637256220578342</v>
      </c>
      <c r="F23" s="10">
        <f t="shared" ref="F23" si="27">AVERAGE(F16:F21)</f>
        <v>30979.166666666668</v>
      </c>
      <c r="G23" s="223">
        <f>AVERAGE(G16:G21)</f>
        <v>10881.333333333334</v>
      </c>
      <c r="H23" s="27">
        <f>+G23/K23</f>
        <v>0.47000215967172992</v>
      </c>
      <c r="I23" s="9">
        <f>AVERAGE(I16:I21)</f>
        <v>12270.333333333334</v>
      </c>
      <c r="J23" s="27">
        <f>+I23/K23</f>
        <v>0.52999784032827013</v>
      </c>
      <c r="K23" s="10">
        <f t="shared" ref="K23" si="28">AVERAGE(K16:K21)</f>
        <v>23151.666666666668</v>
      </c>
      <c r="L23" s="30"/>
    </row>
    <row r="24" spans="1:12" ht="15.95" customHeight="1">
      <c r="A24" s="535" t="s">
        <v>52</v>
      </c>
      <c r="B24" s="62"/>
      <c r="C24" s="22"/>
      <c r="D24" s="62"/>
      <c r="E24" s="22"/>
      <c r="F24" s="14"/>
      <c r="G24" s="22"/>
      <c r="H24" s="22"/>
      <c r="I24" s="62"/>
      <c r="J24" s="22"/>
      <c r="K24" s="14"/>
      <c r="L24" s="26"/>
    </row>
    <row r="25" spans="1:12" ht="31.5" customHeight="1" thickBot="1">
      <c r="A25" s="536"/>
      <c r="B25" s="122">
        <f>AVERAGE(B15,B23)</f>
        <v>16225.25</v>
      </c>
      <c r="C25" s="123">
        <f>+B25/F25</f>
        <v>0.50976844773055729</v>
      </c>
      <c r="D25" s="122">
        <f>AVERAGE(D15,D23)</f>
        <v>15603.416666666668</v>
      </c>
      <c r="E25" s="123">
        <f>+D25/F25</f>
        <v>0.49023155226944265</v>
      </c>
      <c r="F25" s="124">
        <f>AVERAGE(F15,F23)</f>
        <v>31828.666666666668</v>
      </c>
      <c r="G25" s="224">
        <f>AVERAGE(G8:G13,G16:G21)</f>
        <v>13228.083333333334</v>
      </c>
      <c r="H25" s="123">
        <f>G25/K25</f>
        <v>0.49042700767137004</v>
      </c>
      <c r="I25" s="122">
        <f>AVERAGE(I8:I13,I16:I21)</f>
        <v>13744.5</v>
      </c>
      <c r="J25" s="123">
        <f>I25/K25</f>
        <v>0.50957299232863007</v>
      </c>
      <c r="K25" s="124">
        <f>AVERAGE(K8:K13,K16:K21)</f>
        <v>26972.583333333332</v>
      </c>
      <c r="L25" s="30"/>
    </row>
    <row r="26" spans="1:12">
      <c r="A26" s="1"/>
      <c r="B26" s="1"/>
      <c r="C26" s="1"/>
      <c r="D26" s="1"/>
      <c r="E26" s="1"/>
      <c r="F26" s="1"/>
      <c r="G26" s="1"/>
      <c r="H26" s="1"/>
      <c r="I26" s="1"/>
      <c r="J26" s="1"/>
      <c r="K26" s="1"/>
      <c r="L26" s="26"/>
    </row>
    <row r="27" spans="1:12" ht="14.25">
      <c r="A27" s="11"/>
      <c r="B27" s="1"/>
      <c r="C27" s="1"/>
      <c r="D27" s="1"/>
      <c r="E27" s="1"/>
      <c r="F27" s="1"/>
      <c r="G27" s="1"/>
      <c r="H27" s="1"/>
      <c r="I27" s="1"/>
      <c r="J27" s="1"/>
      <c r="K27" s="1"/>
    </row>
    <row r="28" spans="1:12">
      <c r="A28" s="1"/>
      <c r="B28" s="1"/>
      <c r="C28" s="1"/>
      <c r="D28" s="1"/>
      <c r="E28" s="1"/>
      <c r="F28" s="1"/>
      <c r="G28" s="1"/>
      <c r="H28" s="178"/>
      <c r="I28" s="179" t="s">
        <v>15</v>
      </c>
      <c r="J28" s="178"/>
      <c r="K28" s="1"/>
    </row>
    <row r="29" spans="1:12">
      <c r="A29" s="82">
        <f>'κατά επαρχία,  μήνα 2013,2014'!A30</f>
        <v>42054</v>
      </c>
      <c r="B29" s="1"/>
      <c r="C29" s="1"/>
      <c r="D29" s="1"/>
      <c r="E29" s="1"/>
      <c r="F29" s="1"/>
      <c r="G29" s="1"/>
      <c r="H29" s="531" t="s">
        <v>14</v>
      </c>
      <c r="I29" s="531"/>
      <c r="J29" s="531"/>
      <c r="K29" s="531"/>
    </row>
    <row r="30" spans="1:12">
      <c r="A30" s="4"/>
      <c r="B30" s="1"/>
      <c r="C30" s="1"/>
      <c r="D30" s="1"/>
      <c r="E30" s="1"/>
      <c r="F30" s="4"/>
      <c r="G30" s="4"/>
      <c r="H30" s="1"/>
      <c r="I30" s="48"/>
      <c r="J30" s="1"/>
      <c r="K30" s="1"/>
    </row>
    <row r="31" spans="1:12">
      <c r="A31" s="42"/>
      <c r="B31" s="1"/>
      <c r="C31" s="1"/>
      <c r="D31" s="1"/>
      <c r="E31" s="1"/>
      <c r="F31" s="1"/>
      <c r="G31" s="1"/>
      <c r="H31" s="48"/>
      <c r="I31" s="48"/>
      <c r="J31" s="4"/>
      <c r="K31" s="1"/>
    </row>
    <row r="32" spans="1:12">
      <c r="A32" s="1"/>
      <c r="B32" s="1"/>
      <c r="C32" s="1"/>
      <c r="D32" s="1"/>
      <c r="E32" s="1"/>
      <c r="F32" s="1"/>
      <c r="G32" s="1"/>
      <c r="H32" s="1"/>
      <c r="I32" s="1"/>
      <c r="J32" s="1"/>
      <c r="K32" s="1"/>
    </row>
    <row r="33" spans="1:11">
      <c r="A33" s="1"/>
      <c r="B33" s="1"/>
      <c r="C33" s="1"/>
      <c r="D33" s="1"/>
      <c r="E33" s="1"/>
      <c r="F33" s="1"/>
      <c r="G33" s="1"/>
      <c r="H33" s="1"/>
      <c r="I33" s="1"/>
      <c r="J33" s="1"/>
      <c r="K33" s="1"/>
    </row>
  </sheetData>
  <mergeCells count="6">
    <mergeCell ref="H29:K29"/>
    <mergeCell ref="A2:K2"/>
    <mergeCell ref="A3:K3"/>
    <mergeCell ref="A14:A15"/>
    <mergeCell ref="A22:A23"/>
    <mergeCell ref="A24:A25"/>
  </mergeCells>
  <phoneticPr fontId="0" type="noConversion"/>
  <pageMargins left="0.78740157480314965" right="0.39370078740157483"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V26"/>
  <sheetViews>
    <sheetView topLeftCell="C1" zoomScaleNormal="100" workbookViewId="0">
      <selection activeCell="W18" sqref="W18"/>
    </sheetView>
  </sheetViews>
  <sheetFormatPr defaultRowHeight="12.75"/>
  <cols>
    <col min="1" max="1" width="16.42578125" customWidth="1"/>
    <col min="2" max="2" width="5" bestFit="1" customWidth="1"/>
    <col min="3" max="9" width="6" bestFit="1" customWidth="1"/>
    <col min="10" max="10" width="6.7109375" bestFit="1" customWidth="1"/>
    <col min="11" max="21" width="6" bestFit="1" customWidth="1"/>
    <col min="22" max="22" width="11.140625" bestFit="1" customWidth="1"/>
  </cols>
  <sheetData>
    <row r="1" spans="1:22" ht="12" customHeight="1"/>
    <row r="2" spans="1:22" ht="19.5" customHeight="1">
      <c r="A2" s="426" t="s">
        <v>106</v>
      </c>
    </row>
    <row r="3" spans="1:22" s="4" customFormat="1" ht="29.25" customHeight="1">
      <c r="A3" s="538" t="s">
        <v>149</v>
      </c>
      <c r="B3" s="539"/>
      <c r="C3" s="539"/>
      <c r="D3" s="539"/>
      <c r="E3" s="539"/>
      <c r="F3" s="539"/>
      <c r="G3" s="539"/>
      <c r="H3" s="539"/>
      <c r="I3" s="539"/>
      <c r="J3" s="539"/>
      <c r="K3" s="539"/>
      <c r="L3" s="539"/>
      <c r="M3" s="539"/>
      <c r="N3" s="539"/>
      <c r="O3" s="539"/>
      <c r="P3" s="539"/>
      <c r="Q3" s="539"/>
      <c r="R3" s="539"/>
      <c r="S3" s="539"/>
      <c r="T3" s="539"/>
      <c r="U3" s="539"/>
      <c r="V3" s="539"/>
    </row>
    <row r="4" spans="1:22" ht="15.75" thickBot="1">
      <c r="A4" s="11"/>
      <c r="B4" s="11"/>
      <c r="C4" s="11"/>
      <c r="D4" s="11"/>
      <c r="E4" s="11"/>
      <c r="F4" s="537"/>
      <c r="G4" s="537"/>
      <c r="H4" s="537"/>
      <c r="I4" s="537"/>
      <c r="J4" s="537"/>
      <c r="K4" s="537"/>
      <c r="L4" s="537"/>
      <c r="M4" s="537"/>
      <c r="N4" s="537"/>
      <c r="O4" s="537"/>
      <c r="P4" s="537"/>
      <c r="Q4" s="537"/>
    </row>
    <row r="5" spans="1:22" ht="25.5" customHeight="1" thickBot="1">
      <c r="A5" s="397" t="s">
        <v>0</v>
      </c>
      <c r="B5" s="371">
        <v>1995</v>
      </c>
      <c r="C5" s="372">
        <v>1996</v>
      </c>
      <c r="D5" s="372">
        <v>1997</v>
      </c>
      <c r="E5" s="372">
        <v>1998</v>
      </c>
      <c r="F5" s="372">
        <v>1999</v>
      </c>
      <c r="G5" s="372">
        <v>2000</v>
      </c>
      <c r="H5" s="372">
        <v>2001</v>
      </c>
      <c r="I5" s="373">
        <v>2002</v>
      </c>
      <c r="J5" s="373">
        <v>2003</v>
      </c>
      <c r="K5" s="374">
        <v>2004</v>
      </c>
      <c r="L5" s="374">
        <v>2005</v>
      </c>
      <c r="M5" s="373">
        <v>2006</v>
      </c>
      <c r="N5" s="373">
        <v>2007</v>
      </c>
      <c r="O5" s="373">
        <v>2008</v>
      </c>
      <c r="P5" s="373">
        <v>2009</v>
      </c>
      <c r="Q5" s="373">
        <v>2010</v>
      </c>
      <c r="R5" s="373">
        <v>2011</v>
      </c>
      <c r="S5" s="373">
        <v>2012</v>
      </c>
      <c r="T5" s="373">
        <v>2013</v>
      </c>
      <c r="U5" s="495">
        <v>2014</v>
      </c>
      <c r="V5" s="497" t="s">
        <v>124</v>
      </c>
    </row>
    <row r="6" spans="1:22" ht="18" customHeight="1">
      <c r="A6" s="392" t="s">
        <v>23</v>
      </c>
      <c r="B6" s="380">
        <v>9930</v>
      </c>
      <c r="C6" s="366">
        <v>11018</v>
      </c>
      <c r="D6" s="366">
        <v>13246</v>
      </c>
      <c r="E6" s="366">
        <v>11830</v>
      </c>
      <c r="F6" s="366">
        <v>14649</v>
      </c>
      <c r="G6" s="366">
        <v>14167</v>
      </c>
      <c r="H6" s="366">
        <f>15282-717</f>
        <v>14565</v>
      </c>
      <c r="I6" s="366">
        <v>14545</v>
      </c>
      <c r="J6" s="367">
        <v>15305</v>
      </c>
      <c r="K6" s="368">
        <v>15193</v>
      </c>
      <c r="L6" s="369">
        <v>18220</v>
      </c>
      <c r="M6" s="369">
        <v>18391</v>
      </c>
      <c r="N6" s="369">
        <v>18001</v>
      </c>
      <c r="O6" s="369">
        <v>16578</v>
      </c>
      <c r="P6" s="369">
        <v>18238</v>
      </c>
      <c r="Q6" s="369">
        <v>24817</v>
      </c>
      <c r="R6" s="369">
        <v>26664</v>
      </c>
      <c r="S6" s="370">
        <v>32281</v>
      </c>
      <c r="T6" s="369">
        <v>36466</v>
      </c>
      <c r="U6" s="370">
        <f>'κατά φύλο, μήνα 2013,2014'!K8</f>
        <v>38333</v>
      </c>
      <c r="V6" s="498">
        <f t="shared" ref="V6:V7" si="0">(U6/T6)-1</f>
        <v>5.1198376569955517E-2</v>
      </c>
    </row>
    <row r="7" spans="1:22" ht="18" customHeight="1">
      <c r="A7" s="393" t="s">
        <v>24</v>
      </c>
      <c r="B7" s="180">
        <v>9756</v>
      </c>
      <c r="C7" s="168">
        <v>11053</v>
      </c>
      <c r="D7" s="168">
        <v>12655</v>
      </c>
      <c r="E7" s="168">
        <v>12110</v>
      </c>
      <c r="F7" s="168">
        <v>14815</v>
      </c>
      <c r="G7" s="168">
        <f>15542-1303</f>
        <v>14239</v>
      </c>
      <c r="H7" s="168">
        <v>14236</v>
      </c>
      <c r="I7" s="168">
        <v>14539</v>
      </c>
      <c r="J7" s="168">
        <v>15608</v>
      </c>
      <c r="K7" s="180">
        <v>15554</v>
      </c>
      <c r="L7" s="125">
        <v>17868</v>
      </c>
      <c r="M7" s="125">
        <v>17832</v>
      </c>
      <c r="N7" s="125">
        <v>17372</v>
      </c>
      <c r="O7" s="125">
        <v>15781</v>
      </c>
      <c r="P7" s="125">
        <v>18809</v>
      </c>
      <c r="Q7" s="125">
        <v>24511</v>
      </c>
      <c r="R7" s="125">
        <v>26506</v>
      </c>
      <c r="S7" s="184">
        <v>32291</v>
      </c>
      <c r="T7" s="279">
        <v>36211</v>
      </c>
      <c r="U7" s="370">
        <f>'κατά φύλο, μήνα 2013,2014'!K9</f>
        <v>36901</v>
      </c>
      <c r="V7" s="498">
        <f t="shared" si="0"/>
        <v>1.9054983292369654E-2</v>
      </c>
    </row>
    <row r="8" spans="1:22" ht="18" customHeight="1">
      <c r="A8" s="393" t="s">
        <v>25</v>
      </c>
      <c r="B8" s="180">
        <v>8180</v>
      </c>
      <c r="C8" s="168">
        <v>9737</v>
      </c>
      <c r="D8" s="168">
        <v>11429</v>
      </c>
      <c r="E8" s="168">
        <v>12131</v>
      </c>
      <c r="F8" s="168">
        <v>14042</v>
      </c>
      <c r="G8" s="168">
        <v>13613</v>
      </c>
      <c r="H8" s="168">
        <f>13932-661</f>
        <v>13271</v>
      </c>
      <c r="I8" s="168">
        <v>13023</v>
      </c>
      <c r="J8" s="168">
        <v>14691</v>
      </c>
      <c r="K8" s="180">
        <v>14131</v>
      </c>
      <c r="L8" s="125">
        <v>16725</v>
      </c>
      <c r="M8" s="125">
        <v>16958</v>
      </c>
      <c r="N8" s="125">
        <v>16224</v>
      </c>
      <c r="O8" s="125">
        <v>14766</v>
      </c>
      <c r="P8" s="125">
        <v>18544</v>
      </c>
      <c r="Q8" s="125">
        <v>24127</v>
      </c>
      <c r="R8" s="125">
        <v>25390</v>
      </c>
      <c r="S8" s="278">
        <v>31796</v>
      </c>
      <c r="T8" s="279">
        <v>35234</v>
      </c>
      <c r="U8" s="370">
        <f>'κατά φύλο, μήνα 2013,2014'!K10</f>
        <v>35016</v>
      </c>
      <c r="V8" s="498">
        <f t="shared" ref="V8" si="1">(U8/T8)-1</f>
        <v>-6.1872055401033244E-3</v>
      </c>
    </row>
    <row r="9" spans="1:22" ht="18" customHeight="1">
      <c r="A9" s="393" t="s">
        <v>26</v>
      </c>
      <c r="B9" s="180">
        <v>4784</v>
      </c>
      <c r="C9" s="168">
        <v>6373</v>
      </c>
      <c r="D9" s="168">
        <v>7704</v>
      </c>
      <c r="E9" s="168">
        <v>7688</v>
      </c>
      <c r="F9" s="168">
        <v>8442</v>
      </c>
      <c r="G9" s="168">
        <f>9893-687</f>
        <v>9206</v>
      </c>
      <c r="H9" s="168">
        <f>9015-407</f>
        <v>8608</v>
      </c>
      <c r="I9" s="168">
        <v>7645</v>
      </c>
      <c r="J9" s="169" t="s">
        <v>22</v>
      </c>
      <c r="K9" s="180">
        <v>8906</v>
      </c>
      <c r="L9" s="125">
        <v>11089</v>
      </c>
      <c r="M9" s="125">
        <v>12239</v>
      </c>
      <c r="N9" s="125">
        <v>11566</v>
      </c>
      <c r="O9" s="125">
        <v>10318</v>
      </c>
      <c r="P9" s="125">
        <v>14862</v>
      </c>
      <c r="Q9" s="125">
        <v>18931</v>
      </c>
      <c r="R9" s="125">
        <v>21153</v>
      </c>
      <c r="S9" s="184">
        <v>27901</v>
      </c>
      <c r="T9" s="279">
        <v>31887</v>
      </c>
      <c r="U9" s="370">
        <f>'κατά φύλο, μήνα 2013,2014'!K11</f>
        <v>28218</v>
      </c>
      <c r="V9" s="498">
        <f t="shared" ref="V9" si="2">(U9/T9)-1</f>
        <v>-0.11506256468153164</v>
      </c>
    </row>
    <row r="10" spans="1:22" ht="18" customHeight="1">
      <c r="A10" s="393" t="s">
        <v>27</v>
      </c>
      <c r="B10" s="180">
        <v>4863</v>
      </c>
      <c r="C10" s="168">
        <v>6134</v>
      </c>
      <c r="D10" s="168">
        <v>7510</v>
      </c>
      <c r="E10" s="168">
        <v>7129</v>
      </c>
      <c r="F10" s="168">
        <v>7827</v>
      </c>
      <c r="G10" s="168">
        <v>8703</v>
      </c>
      <c r="H10" s="168">
        <f>8652-291</f>
        <v>8361</v>
      </c>
      <c r="I10" s="168">
        <v>6862</v>
      </c>
      <c r="J10" s="168">
        <v>8573</v>
      </c>
      <c r="K10" s="180">
        <v>7739</v>
      </c>
      <c r="L10" s="125">
        <v>10521</v>
      </c>
      <c r="M10" s="125">
        <v>10922</v>
      </c>
      <c r="N10" s="125">
        <v>9409</v>
      </c>
      <c r="O10" s="125">
        <v>8802</v>
      </c>
      <c r="P10" s="125">
        <v>13253</v>
      </c>
      <c r="Q10" s="125">
        <v>16873</v>
      </c>
      <c r="R10" s="125">
        <v>18627</v>
      </c>
      <c r="S10" s="184">
        <v>24512</v>
      </c>
      <c r="T10" s="279">
        <v>27981</v>
      </c>
      <c r="U10" s="370">
        <f>'κατά φύλο, μήνα 2013,2014'!K12</f>
        <v>23335</v>
      </c>
      <c r="V10" s="498">
        <f t="shared" ref="V10" si="3">(U10/T10)-1</f>
        <v>-0.16604124227154138</v>
      </c>
    </row>
    <row r="11" spans="1:22" ht="18" customHeight="1" thickBot="1">
      <c r="A11" s="394" t="s">
        <v>28</v>
      </c>
      <c r="B11" s="376">
        <v>5189</v>
      </c>
      <c r="C11" s="375">
        <v>6841</v>
      </c>
      <c r="D11" s="375">
        <v>7867</v>
      </c>
      <c r="E11" s="375">
        <v>7712</v>
      </c>
      <c r="F11" s="375">
        <v>8201</v>
      </c>
      <c r="G11" s="375">
        <v>8720</v>
      </c>
      <c r="H11" s="375">
        <f>8952-233</f>
        <v>8719</v>
      </c>
      <c r="I11" s="375">
        <v>7303</v>
      </c>
      <c r="J11" s="375">
        <v>8243</v>
      </c>
      <c r="K11" s="376">
        <v>8029</v>
      </c>
      <c r="L11" s="377">
        <v>10762</v>
      </c>
      <c r="M11" s="377">
        <v>10769</v>
      </c>
      <c r="N11" s="377">
        <v>9820</v>
      </c>
      <c r="O11" s="377">
        <v>9044</v>
      </c>
      <c r="P11" s="377">
        <v>14394</v>
      </c>
      <c r="Q11" s="377">
        <v>17593</v>
      </c>
      <c r="R11" s="377">
        <v>19276</v>
      </c>
      <c r="S11" s="378">
        <v>24090</v>
      </c>
      <c r="T11" s="379">
        <v>28290</v>
      </c>
      <c r="U11" s="370">
        <f>'κατά φύλο, μήνα 2013,2014'!K13</f>
        <v>22958</v>
      </c>
      <c r="V11" s="498">
        <f t="shared" ref="V11" si="4">(U11/T11)-1</f>
        <v>-0.18847649346058681</v>
      </c>
    </row>
    <row r="12" spans="1:22" ht="38.25" customHeight="1" thickBot="1">
      <c r="A12" s="398" t="s">
        <v>49</v>
      </c>
      <c r="B12" s="383">
        <f t="shared" ref="B12:L12" si="5">AVERAGE(B6:B11)</f>
        <v>7117</v>
      </c>
      <c r="C12" s="382">
        <f t="shared" si="5"/>
        <v>8526</v>
      </c>
      <c r="D12" s="382">
        <f t="shared" si="5"/>
        <v>10068.5</v>
      </c>
      <c r="E12" s="382">
        <f t="shared" si="5"/>
        <v>9766.6666666666661</v>
      </c>
      <c r="F12" s="382">
        <f t="shared" si="5"/>
        <v>11329.333333333334</v>
      </c>
      <c r="G12" s="382">
        <f t="shared" si="5"/>
        <v>11441.333333333334</v>
      </c>
      <c r="H12" s="382">
        <f t="shared" si="5"/>
        <v>11293.333333333334</v>
      </c>
      <c r="I12" s="382">
        <f t="shared" si="5"/>
        <v>10652.833333333334</v>
      </c>
      <c r="J12" s="382">
        <f t="shared" si="5"/>
        <v>12484</v>
      </c>
      <c r="K12" s="383">
        <f t="shared" si="5"/>
        <v>11592</v>
      </c>
      <c r="L12" s="289">
        <f t="shared" si="5"/>
        <v>14197.5</v>
      </c>
      <c r="M12" s="289">
        <f t="shared" ref="M12:T12" si="6">AVERAGE(M6:M11)</f>
        <v>14518.5</v>
      </c>
      <c r="N12" s="289">
        <f t="shared" si="6"/>
        <v>13732</v>
      </c>
      <c r="O12" s="289">
        <f t="shared" si="6"/>
        <v>12548.166666666666</v>
      </c>
      <c r="P12" s="289">
        <f t="shared" si="6"/>
        <v>16350</v>
      </c>
      <c r="Q12" s="289">
        <f t="shared" si="6"/>
        <v>21142</v>
      </c>
      <c r="R12" s="289">
        <f t="shared" si="6"/>
        <v>22936</v>
      </c>
      <c r="S12" s="289">
        <f t="shared" si="6"/>
        <v>28811.833333333332</v>
      </c>
      <c r="T12" s="289">
        <f t="shared" si="6"/>
        <v>32678.166666666668</v>
      </c>
      <c r="U12" s="415">
        <f>AVERAGE(U6:U11)</f>
        <v>30793.5</v>
      </c>
      <c r="V12" s="515">
        <f t="shared" ref="V12:V18" si="7">(U12/T12)-1</f>
        <v>-5.767357409891416E-2</v>
      </c>
    </row>
    <row r="13" spans="1:22" ht="18" customHeight="1">
      <c r="A13" s="392" t="s">
        <v>29</v>
      </c>
      <c r="B13" s="380">
        <v>6680</v>
      </c>
      <c r="C13" s="366">
        <v>7962</v>
      </c>
      <c r="D13" s="366">
        <v>8980</v>
      </c>
      <c r="E13" s="366">
        <v>8604</v>
      </c>
      <c r="F13" s="366">
        <v>9632</v>
      </c>
      <c r="G13" s="366">
        <f>10233-352</f>
        <v>9881</v>
      </c>
      <c r="H13" s="366">
        <f>296+9999-310</f>
        <v>9985</v>
      </c>
      <c r="I13" s="366">
        <v>8758</v>
      </c>
      <c r="J13" s="366">
        <v>9772</v>
      </c>
      <c r="K13" s="380">
        <v>9509</v>
      </c>
      <c r="L13" s="369">
        <v>11705</v>
      </c>
      <c r="M13" s="369">
        <v>11835</v>
      </c>
      <c r="N13" s="369">
        <v>10821</v>
      </c>
      <c r="O13" s="369">
        <v>10313</v>
      </c>
      <c r="P13" s="369">
        <v>15817</v>
      </c>
      <c r="Q13" s="369">
        <v>18443</v>
      </c>
      <c r="R13" s="369">
        <v>20024</v>
      </c>
      <c r="S13" s="370">
        <v>25399</v>
      </c>
      <c r="T13" s="381">
        <v>29528</v>
      </c>
      <c r="U13" s="370">
        <f>'κατά φύλο, μήνα 2013,2014'!K16</f>
        <v>22590</v>
      </c>
      <c r="V13" s="517">
        <f t="shared" si="7"/>
        <v>-0.23496342454619346</v>
      </c>
    </row>
    <row r="14" spans="1:22" ht="18" customHeight="1">
      <c r="A14" s="393" t="s">
        <v>7</v>
      </c>
      <c r="B14" s="180">
        <v>6621</v>
      </c>
      <c r="C14" s="168">
        <v>7849</v>
      </c>
      <c r="D14" s="168">
        <v>8752</v>
      </c>
      <c r="E14" s="168">
        <v>8486</v>
      </c>
      <c r="F14" s="168">
        <v>9969</v>
      </c>
      <c r="G14" s="168">
        <v>10059</v>
      </c>
      <c r="H14" s="168">
        <f>10342-300</f>
        <v>10042</v>
      </c>
      <c r="I14" s="168">
        <v>8633</v>
      </c>
      <c r="J14" s="168">
        <v>9178</v>
      </c>
      <c r="K14" s="180">
        <v>9132</v>
      </c>
      <c r="L14" s="125">
        <v>11668</v>
      </c>
      <c r="M14" s="125">
        <v>11752</v>
      </c>
      <c r="N14" s="125">
        <v>10761</v>
      </c>
      <c r="O14" s="125">
        <v>10335</v>
      </c>
      <c r="P14" s="125">
        <v>15904</v>
      </c>
      <c r="Q14" s="125">
        <v>17925</v>
      </c>
      <c r="R14" s="125">
        <v>20501</v>
      </c>
      <c r="S14" s="184">
        <v>24866</v>
      </c>
      <c r="T14" s="279">
        <v>30345</v>
      </c>
      <c r="U14" s="370">
        <f>'κατά φύλο, μήνα 2013,2014'!K17</f>
        <v>21432</v>
      </c>
      <c r="V14" s="516">
        <f t="shared" si="7"/>
        <v>-0.29372219476025707</v>
      </c>
    </row>
    <row r="15" spans="1:22" ht="18" customHeight="1">
      <c r="A15" s="393" t="s">
        <v>30</v>
      </c>
      <c r="B15" s="180">
        <v>6233</v>
      </c>
      <c r="C15" s="168">
        <v>7440</v>
      </c>
      <c r="D15" s="168">
        <v>8025</v>
      </c>
      <c r="E15" s="168">
        <v>8409</v>
      </c>
      <c r="F15" s="168">
        <v>9418</v>
      </c>
      <c r="G15" s="168">
        <v>9135</v>
      </c>
      <c r="H15" s="168">
        <f>9554-295</f>
        <v>9259</v>
      </c>
      <c r="I15" s="168">
        <v>7951</v>
      </c>
      <c r="J15" s="168">
        <v>8299</v>
      </c>
      <c r="K15" s="180">
        <v>8609</v>
      </c>
      <c r="L15" s="125">
        <v>11135</v>
      </c>
      <c r="M15" s="125">
        <v>11508</v>
      </c>
      <c r="N15" s="125">
        <v>10617</v>
      </c>
      <c r="O15" s="125">
        <v>9697</v>
      </c>
      <c r="P15" s="125">
        <v>15896</v>
      </c>
      <c r="Q15" s="125">
        <v>17103</v>
      </c>
      <c r="R15" s="125">
        <v>20171</v>
      </c>
      <c r="S15" s="278">
        <v>24913</v>
      </c>
      <c r="T15" s="279">
        <v>29550</v>
      </c>
      <c r="U15" s="370">
        <f>'κατά φύλο, μήνα 2013,2014'!K18</f>
        <v>21500</v>
      </c>
      <c r="V15" s="516">
        <f t="shared" si="7"/>
        <v>-0.27241962774957695</v>
      </c>
    </row>
    <row r="16" spans="1:22" ht="18" customHeight="1">
      <c r="A16" s="393" t="s">
        <v>31</v>
      </c>
      <c r="B16" s="180">
        <v>6119</v>
      </c>
      <c r="C16" s="168">
        <v>7280</v>
      </c>
      <c r="D16" s="168">
        <v>7475</v>
      </c>
      <c r="E16" s="168">
        <v>7732</v>
      </c>
      <c r="F16" s="168">
        <v>7380</v>
      </c>
      <c r="G16" s="168">
        <f>8844-329</f>
        <v>8515</v>
      </c>
      <c r="H16" s="168">
        <f>9483-298</f>
        <v>9185</v>
      </c>
      <c r="I16" s="168">
        <v>7450</v>
      </c>
      <c r="J16" s="168">
        <v>7894</v>
      </c>
      <c r="K16" s="180">
        <v>8105</v>
      </c>
      <c r="L16" s="125">
        <v>9847</v>
      </c>
      <c r="M16" s="125">
        <v>9396</v>
      </c>
      <c r="N16" s="125">
        <v>8345</v>
      </c>
      <c r="O16" s="125">
        <v>8194</v>
      </c>
      <c r="P16" s="125">
        <v>14225</v>
      </c>
      <c r="Q16" s="125">
        <v>15052</v>
      </c>
      <c r="R16" s="125">
        <v>18540</v>
      </c>
      <c r="S16" s="184">
        <v>22957</v>
      </c>
      <c r="T16" s="279">
        <f>'κατά φύλο, μήνα 2013,2014'!F19</f>
        <v>27093</v>
      </c>
      <c r="U16" s="370">
        <f>'κατά φύλο, μήνα 2013,2014'!K19</f>
        <v>17937</v>
      </c>
      <c r="V16" s="516">
        <f t="shared" si="7"/>
        <v>-0.33794707119920275</v>
      </c>
    </row>
    <row r="17" spans="1:22" ht="18" customHeight="1">
      <c r="A17" s="393" t="s">
        <v>32</v>
      </c>
      <c r="B17" s="180">
        <v>6416</v>
      </c>
      <c r="C17" s="168">
        <v>8908</v>
      </c>
      <c r="D17" s="168">
        <v>8589</v>
      </c>
      <c r="E17" s="168">
        <v>9186</v>
      </c>
      <c r="F17" s="168">
        <f>10259-1134</f>
        <v>9125</v>
      </c>
      <c r="G17" s="168">
        <v>9905</v>
      </c>
      <c r="H17" s="168">
        <v>12316</v>
      </c>
      <c r="I17" s="168">
        <v>10392</v>
      </c>
      <c r="J17" s="168">
        <v>10560</v>
      </c>
      <c r="K17" s="180">
        <v>10575</v>
      </c>
      <c r="L17" s="125">
        <v>13614</v>
      </c>
      <c r="M17" s="125">
        <v>12990</v>
      </c>
      <c r="N17" s="125">
        <v>12052</v>
      </c>
      <c r="O17" s="125">
        <v>11853</v>
      </c>
      <c r="P17" s="125">
        <v>19333</v>
      </c>
      <c r="Q17" s="125">
        <v>20238</v>
      </c>
      <c r="R17" s="125">
        <v>24943</v>
      </c>
      <c r="S17" s="184">
        <v>29393</v>
      </c>
      <c r="T17" s="279">
        <f>'κατά φύλο, μήνα 2013,2014'!F20</f>
        <v>32643</v>
      </c>
      <c r="U17" s="370">
        <f>'κατά φύλο, μήνα 2013,2014'!K20</f>
        <v>25814</v>
      </c>
      <c r="V17" s="516">
        <f t="shared" si="7"/>
        <v>-0.20920258554667159</v>
      </c>
    </row>
    <row r="18" spans="1:22" ht="18" customHeight="1" thickBot="1">
      <c r="A18" s="394" t="s">
        <v>33</v>
      </c>
      <c r="B18" s="376">
        <v>8226</v>
      </c>
      <c r="C18" s="375">
        <v>11214</v>
      </c>
      <c r="D18" s="375">
        <v>9915</v>
      </c>
      <c r="E18" s="375">
        <v>12477</v>
      </c>
      <c r="F18" s="375">
        <f>12981-1262</f>
        <v>11719</v>
      </c>
      <c r="G18" s="375">
        <v>13133</v>
      </c>
      <c r="H18" s="375">
        <f>16077-775</f>
        <v>15302</v>
      </c>
      <c r="I18" s="375">
        <v>13658</v>
      </c>
      <c r="J18" s="375">
        <v>13824</v>
      </c>
      <c r="K18" s="376">
        <v>14111</v>
      </c>
      <c r="L18" s="377">
        <v>16294</v>
      </c>
      <c r="M18" s="377">
        <v>15903</v>
      </c>
      <c r="N18" s="377">
        <v>15648</v>
      </c>
      <c r="O18" s="377">
        <v>15669</v>
      </c>
      <c r="P18" s="377">
        <v>22938</v>
      </c>
      <c r="Q18" s="377">
        <v>24154</v>
      </c>
      <c r="R18" s="379">
        <v>29034</v>
      </c>
      <c r="S18" s="384">
        <v>33374</v>
      </c>
      <c r="T18" s="279">
        <f>'κατά φύλο, μήνα 2013,2014'!F21</f>
        <v>36716</v>
      </c>
      <c r="U18" s="370">
        <f>'κατά φύλο, μήνα 2013,2014'!K21</f>
        <v>29637</v>
      </c>
      <c r="V18" s="516">
        <f t="shared" si="7"/>
        <v>-0.19280422703998257</v>
      </c>
    </row>
    <row r="19" spans="1:22" ht="39.75" customHeight="1" thickBot="1">
      <c r="A19" s="399" t="s">
        <v>47</v>
      </c>
      <c r="B19" s="386">
        <f t="shared" ref="B19:L19" si="8">AVERAGE(B13:B18)</f>
        <v>6715.833333333333</v>
      </c>
      <c r="C19" s="385">
        <f t="shared" si="8"/>
        <v>8442.1666666666661</v>
      </c>
      <c r="D19" s="385">
        <f t="shared" si="8"/>
        <v>8622.6666666666661</v>
      </c>
      <c r="E19" s="385">
        <f t="shared" si="8"/>
        <v>9149</v>
      </c>
      <c r="F19" s="385">
        <f t="shared" si="8"/>
        <v>9540.5</v>
      </c>
      <c r="G19" s="385">
        <f t="shared" si="8"/>
        <v>10104.666666666666</v>
      </c>
      <c r="H19" s="385">
        <f t="shared" si="8"/>
        <v>11014.833333333334</v>
      </c>
      <c r="I19" s="385">
        <f t="shared" si="8"/>
        <v>9473.6666666666661</v>
      </c>
      <c r="J19" s="385">
        <f t="shared" si="8"/>
        <v>9921.1666666666661</v>
      </c>
      <c r="K19" s="386">
        <f t="shared" si="8"/>
        <v>10006.833333333334</v>
      </c>
      <c r="L19" s="387">
        <f t="shared" si="8"/>
        <v>12377.166666666666</v>
      </c>
      <c r="M19" s="387">
        <f t="shared" ref="M19:S19" si="9">AVERAGE(M13:M18)</f>
        <v>12230.666666666666</v>
      </c>
      <c r="N19" s="387">
        <f t="shared" si="9"/>
        <v>11374</v>
      </c>
      <c r="O19" s="387">
        <f t="shared" si="9"/>
        <v>11010.166666666666</v>
      </c>
      <c r="P19" s="387">
        <f t="shared" si="9"/>
        <v>17352.166666666668</v>
      </c>
      <c r="Q19" s="387">
        <f t="shared" si="9"/>
        <v>18819.166666666668</v>
      </c>
      <c r="R19" s="387">
        <f t="shared" si="9"/>
        <v>22202.166666666668</v>
      </c>
      <c r="S19" s="387">
        <f t="shared" si="9"/>
        <v>26817</v>
      </c>
      <c r="T19" s="388">
        <f>AVERAGE(T13:T18)</f>
        <v>30979.166666666668</v>
      </c>
      <c r="U19" s="388">
        <f>AVERAGE(U13:U18)</f>
        <v>23151.666666666668</v>
      </c>
      <c r="V19" s="499">
        <f>(U19/T19)-1</f>
        <v>-0.25266980497646263</v>
      </c>
    </row>
    <row r="20" spans="1:22" ht="27.75" customHeight="1" thickBot="1">
      <c r="A20" s="398" t="s">
        <v>50</v>
      </c>
      <c r="B20" s="183">
        <f t="shared" ref="B20:L20" si="10">AVERAGE(B6:B11,B13:B18)</f>
        <v>6916.416666666667</v>
      </c>
      <c r="C20" s="182">
        <f t="shared" si="10"/>
        <v>8484.0833333333339</v>
      </c>
      <c r="D20" s="182">
        <f t="shared" si="10"/>
        <v>9345.5833333333339</v>
      </c>
      <c r="E20" s="182">
        <f t="shared" si="10"/>
        <v>9457.8333333333339</v>
      </c>
      <c r="F20" s="182">
        <f t="shared" si="10"/>
        <v>10434.916666666666</v>
      </c>
      <c r="G20" s="182">
        <f t="shared" si="10"/>
        <v>10773</v>
      </c>
      <c r="H20" s="182">
        <f t="shared" si="10"/>
        <v>11154.083333333334</v>
      </c>
      <c r="I20" s="182">
        <f t="shared" si="10"/>
        <v>10063.25</v>
      </c>
      <c r="J20" s="182">
        <f t="shared" si="10"/>
        <v>11086.09090909091</v>
      </c>
      <c r="K20" s="183">
        <f t="shared" si="10"/>
        <v>10799.416666666666</v>
      </c>
      <c r="L20" s="181">
        <f t="shared" si="10"/>
        <v>13287.333333333334</v>
      </c>
      <c r="M20" s="177">
        <f t="shared" ref="M20:S20" si="11">AVERAGE(M6:M11,M13:M18)</f>
        <v>13374.583333333334</v>
      </c>
      <c r="N20" s="170">
        <f t="shared" si="11"/>
        <v>12553</v>
      </c>
      <c r="O20" s="170">
        <f t="shared" si="11"/>
        <v>11779.166666666666</v>
      </c>
      <c r="P20" s="170">
        <f t="shared" si="11"/>
        <v>16851.083333333332</v>
      </c>
      <c r="Q20" s="170">
        <f t="shared" si="11"/>
        <v>19980.583333333332</v>
      </c>
      <c r="R20" s="170">
        <f t="shared" si="11"/>
        <v>22569.083333333332</v>
      </c>
      <c r="S20" s="170">
        <f t="shared" si="11"/>
        <v>27814.416666666668</v>
      </c>
      <c r="T20" s="363">
        <f>AVERAGE(T6:T11,T13:T17)</f>
        <v>31384.363636363636</v>
      </c>
      <c r="U20" s="496">
        <f>AVERAGE(U6:U11,U13:U17)</f>
        <v>26730.363636363636</v>
      </c>
      <c r="V20" s="499">
        <f>U20/T20-1</f>
        <v>-0.14829040518150327</v>
      </c>
    </row>
    <row r="21" spans="1:22">
      <c r="A21" s="3"/>
    </row>
    <row r="23" spans="1:22">
      <c r="A23" s="109"/>
      <c r="Q23" s="540" t="s">
        <v>15</v>
      </c>
      <c r="R23" s="540"/>
      <c r="S23" s="540"/>
      <c r="T23" s="540"/>
      <c r="U23" s="540"/>
      <c r="V23" s="540"/>
    </row>
    <row r="24" spans="1:22" ht="14.25">
      <c r="A24" s="40"/>
      <c r="Q24" s="540" t="s">
        <v>14</v>
      </c>
      <c r="R24" s="540"/>
      <c r="S24" s="540"/>
      <c r="T24" s="540"/>
      <c r="U24" s="540"/>
      <c r="V24" s="540"/>
    </row>
    <row r="25" spans="1:22">
      <c r="A25" s="82">
        <f>'κατά φύλο, μήνα 2013,2014'!A29</f>
        <v>42054</v>
      </c>
      <c r="O25" s="81"/>
      <c r="P25" s="102"/>
      <c r="Q25" s="102"/>
      <c r="R25" s="102"/>
      <c r="S25" s="102"/>
    </row>
    <row r="26" spans="1:22">
      <c r="A26" s="109"/>
      <c r="O26" s="102"/>
      <c r="P26" s="102"/>
      <c r="Q26" s="102"/>
      <c r="R26" s="102"/>
      <c r="S26" s="100"/>
    </row>
  </sheetData>
  <mergeCells count="4">
    <mergeCell ref="F4:Q4"/>
    <mergeCell ref="A3:V3"/>
    <mergeCell ref="Q23:V23"/>
    <mergeCell ref="Q24:V24"/>
  </mergeCells>
  <phoneticPr fontId="0" type="noConversion"/>
  <pageMargins left="0" right="0" top="0.98425196850393704" bottom="0.78740157480314965"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AD28"/>
  <sheetViews>
    <sheetView topLeftCell="S7" zoomScaleNormal="100" workbookViewId="0">
      <selection activeCell="AC17" sqref="AC17"/>
    </sheetView>
  </sheetViews>
  <sheetFormatPr defaultRowHeight="12.75"/>
  <cols>
    <col min="1" max="1" width="14.5703125" customWidth="1"/>
    <col min="2" max="2" width="13.7109375" hidden="1" customWidth="1"/>
    <col min="3" max="3" width="10.7109375" hidden="1" customWidth="1"/>
    <col min="4" max="4" width="11.42578125" hidden="1" customWidth="1"/>
    <col min="5" max="5" width="14.42578125" hidden="1" customWidth="1"/>
    <col min="6" max="6" width="10.7109375" hidden="1" customWidth="1"/>
    <col min="7" max="7" width="12" hidden="1" customWidth="1"/>
    <col min="8" max="8" width="10.28515625" hidden="1" customWidth="1"/>
    <col min="9" max="9" width="10.7109375" hidden="1" customWidth="1"/>
    <col min="10" max="10" width="12.85546875" hidden="1" customWidth="1"/>
    <col min="11" max="11" width="10.7109375" hidden="1" customWidth="1"/>
    <col min="12" max="12" width="10.140625" hidden="1" customWidth="1"/>
    <col min="13" max="13" width="12.140625" hidden="1" customWidth="1"/>
    <col min="14" max="14" width="10" hidden="1" customWidth="1"/>
    <col min="15" max="15" width="10.7109375" hidden="1" customWidth="1"/>
    <col min="16" max="16" width="12.7109375" hidden="1" customWidth="1"/>
    <col min="17" max="17" width="9.42578125" hidden="1" customWidth="1"/>
    <col min="18" max="18" width="11" hidden="1" customWidth="1"/>
    <col min="19" max="19" width="12.42578125" customWidth="1"/>
    <col min="21" max="21" width="9.5703125" customWidth="1"/>
    <col min="22" max="22" width="13" customWidth="1"/>
    <col min="23" max="23" width="9.42578125" customWidth="1"/>
    <col min="24" max="24" width="11" customWidth="1"/>
    <col min="27" max="27" width="10.28515625" bestFit="1" customWidth="1"/>
    <col min="28" max="28" width="13.7109375" bestFit="1" customWidth="1"/>
  </cols>
  <sheetData>
    <row r="1" spans="1:30">
      <c r="A1" s="426" t="s">
        <v>107</v>
      </c>
    </row>
    <row r="2" spans="1:30" ht="27.75" customHeight="1">
      <c r="A2" s="541" t="s">
        <v>128</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row>
    <row r="3" spans="1:30" ht="13.5" thickBot="1">
      <c r="A3" s="542"/>
      <c r="B3" s="542"/>
      <c r="C3" s="4"/>
      <c r="D3" s="4"/>
      <c r="E3" s="4"/>
      <c r="F3" s="4"/>
      <c r="G3" s="4"/>
    </row>
    <row r="4" spans="1:30" ht="19.5" customHeight="1">
      <c r="A4" s="315"/>
      <c r="B4" s="545">
        <v>2010</v>
      </c>
      <c r="C4" s="545"/>
      <c r="D4" s="545"/>
      <c r="E4" s="545"/>
      <c r="F4" s="546"/>
      <c r="G4" s="547">
        <v>2011</v>
      </c>
      <c r="H4" s="545"/>
      <c r="I4" s="545"/>
      <c r="J4" s="545"/>
      <c r="K4" s="546"/>
      <c r="L4" s="543" t="s">
        <v>64</v>
      </c>
      <c r="M4" s="548">
        <v>2012</v>
      </c>
      <c r="N4" s="545"/>
      <c r="O4" s="545"/>
      <c r="P4" s="545"/>
      <c r="Q4" s="546"/>
      <c r="R4" s="543" t="s">
        <v>98</v>
      </c>
      <c r="S4" s="548">
        <v>2013</v>
      </c>
      <c r="T4" s="545"/>
      <c r="U4" s="545"/>
      <c r="V4" s="545"/>
      <c r="W4" s="546"/>
      <c r="X4" s="550" t="s">
        <v>109</v>
      </c>
      <c r="Y4" s="548">
        <v>2014</v>
      </c>
      <c r="Z4" s="545"/>
      <c r="AA4" s="545"/>
      <c r="AB4" s="545"/>
      <c r="AC4" s="546"/>
      <c r="AD4" s="550" t="s">
        <v>127</v>
      </c>
    </row>
    <row r="5" spans="1:30" ht="37.5" customHeight="1">
      <c r="A5" s="316" t="s">
        <v>0</v>
      </c>
      <c r="B5" s="172" t="s">
        <v>40</v>
      </c>
      <c r="C5" s="173" t="s">
        <v>41</v>
      </c>
      <c r="D5" s="173" t="s">
        <v>44</v>
      </c>
      <c r="E5" s="174" t="s">
        <v>42</v>
      </c>
      <c r="F5" s="220" t="s">
        <v>43</v>
      </c>
      <c r="G5" s="221" t="s">
        <v>40</v>
      </c>
      <c r="H5" s="173" t="s">
        <v>41</v>
      </c>
      <c r="I5" s="173" t="s">
        <v>44</v>
      </c>
      <c r="J5" s="174" t="s">
        <v>42</v>
      </c>
      <c r="K5" s="173" t="s">
        <v>43</v>
      </c>
      <c r="L5" s="544"/>
      <c r="M5" s="175" t="s">
        <v>40</v>
      </c>
      <c r="N5" s="173" t="s">
        <v>41</v>
      </c>
      <c r="O5" s="173" t="s">
        <v>44</v>
      </c>
      <c r="P5" s="174" t="s">
        <v>42</v>
      </c>
      <c r="Q5" s="173" t="s">
        <v>43</v>
      </c>
      <c r="R5" s="544"/>
      <c r="S5" s="175" t="s">
        <v>40</v>
      </c>
      <c r="T5" s="173" t="s">
        <v>41</v>
      </c>
      <c r="U5" s="173" t="s">
        <v>44</v>
      </c>
      <c r="V5" s="174" t="s">
        <v>42</v>
      </c>
      <c r="W5" s="173" t="s">
        <v>43</v>
      </c>
      <c r="X5" s="551"/>
      <c r="Y5" s="175" t="s">
        <v>40</v>
      </c>
      <c r="Z5" s="173" t="s">
        <v>41</v>
      </c>
      <c r="AA5" s="173" t="s">
        <v>44</v>
      </c>
      <c r="AB5" s="174" t="s">
        <v>42</v>
      </c>
      <c r="AC5" s="173" t="s">
        <v>43</v>
      </c>
      <c r="AD5" s="551"/>
    </row>
    <row r="6" spans="1:30" ht="18" customHeight="1">
      <c r="A6" s="317" t="s">
        <v>23</v>
      </c>
      <c r="B6" s="314">
        <f>44+14709+37</f>
        <v>14790</v>
      </c>
      <c r="C6" s="125">
        <v>3443</v>
      </c>
      <c r="D6" s="125">
        <v>1510</v>
      </c>
      <c r="E6" s="125">
        <v>277</v>
      </c>
      <c r="F6" s="184">
        <f t="shared" ref="F6:F11" si="0">B6+C6+D6+E6</f>
        <v>20020</v>
      </c>
      <c r="G6" s="125">
        <v>14225</v>
      </c>
      <c r="H6" s="125">
        <v>4452</v>
      </c>
      <c r="I6" s="125">
        <v>1451</v>
      </c>
      <c r="J6" s="125">
        <v>223</v>
      </c>
      <c r="K6" s="125">
        <f>G6+H6+I6+J6</f>
        <v>20351</v>
      </c>
      <c r="L6" s="287">
        <f>(K6/F6)-1</f>
        <v>1.6533466533466434E-2</v>
      </c>
      <c r="M6" s="131">
        <v>17446</v>
      </c>
      <c r="N6" s="125">
        <v>6202</v>
      </c>
      <c r="O6" s="125">
        <v>669</v>
      </c>
      <c r="P6" s="125">
        <v>254</v>
      </c>
      <c r="Q6" s="125">
        <f t="shared" ref="Q6:Q18" si="1">M6+N6+O6+P6</f>
        <v>24571</v>
      </c>
      <c r="R6" s="287">
        <f t="shared" ref="R6:R20" si="2">(Q6/K6)-1</f>
        <v>0.20736081765023839</v>
      </c>
      <c r="S6" s="131">
        <v>18691</v>
      </c>
      <c r="T6" s="125">
        <v>6962</v>
      </c>
      <c r="U6" s="125">
        <v>734</v>
      </c>
      <c r="V6" s="125">
        <v>233</v>
      </c>
      <c r="W6" s="125">
        <f t="shared" ref="W6:W16" si="3">S6+T6+U6+V6</f>
        <v>26620</v>
      </c>
      <c r="X6" s="287">
        <f t="shared" ref="X6:X16" si="4">(W6/Q6)-1</f>
        <v>8.3390989377721603E-2</v>
      </c>
      <c r="Y6" s="131">
        <v>18918</v>
      </c>
      <c r="Z6" s="125">
        <v>6049</v>
      </c>
      <c r="AA6" s="125">
        <v>781</v>
      </c>
      <c r="AB6" s="125">
        <v>92</v>
      </c>
      <c r="AC6" s="125">
        <f>Y6+Z6+AA6+AB6</f>
        <v>25840</v>
      </c>
      <c r="AD6" s="287">
        <f>(AC6/W6)-1</f>
        <v>-2.9301277235161516E-2</v>
      </c>
    </row>
    <row r="7" spans="1:30" ht="18" customHeight="1">
      <c r="A7" s="318" t="s">
        <v>24</v>
      </c>
      <c r="B7" s="314">
        <f>45+13246+30</f>
        <v>13321</v>
      </c>
      <c r="C7" s="125">
        <v>3534</v>
      </c>
      <c r="D7" s="125">
        <v>1540</v>
      </c>
      <c r="E7" s="125">
        <v>258</v>
      </c>
      <c r="F7" s="184">
        <f t="shared" si="0"/>
        <v>18653</v>
      </c>
      <c r="G7" s="125">
        <v>13628</v>
      </c>
      <c r="H7" s="125">
        <v>4510</v>
      </c>
      <c r="I7" s="125">
        <v>1475</v>
      </c>
      <c r="J7" s="125">
        <v>222</v>
      </c>
      <c r="K7" s="125">
        <f t="shared" ref="K7:K18" si="5">G7+H7+I7+J7</f>
        <v>19835</v>
      </c>
      <c r="L7" s="287">
        <f t="shared" ref="L7:L20" si="6">(K7/F7)-1</f>
        <v>6.3367822870315837E-2</v>
      </c>
      <c r="M7" s="131">
        <v>16730</v>
      </c>
      <c r="N7" s="125">
        <v>6355</v>
      </c>
      <c r="O7" s="125">
        <v>682</v>
      </c>
      <c r="P7" s="125">
        <v>232</v>
      </c>
      <c r="Q7" s="125">
        <f t="shared" si="1"/>
        <v>23999</v>
      </c>
      <c r="R7" s="287">
        <f t="shared" si="2"/>
        <v>0.20993193849256375</v>
      </c>
      <c r="S7" s="131">
        <v>18006</v>
      </c>
      <c r="T7" s="125">
        <v>7062</v>
      </c>
      <c r="U7" s="125">
        <v>749</v>
      </c>
      <c r="V7" s="125">
        <v>212</v>
      </c>
      <c r="W7" s="125">
        <f t="shared" si="3"/>
        <v>26029</v>
      </c>
      <c r="X7" s="287">
        <f t="shared" si="4"/>
        <v>8.4586857785741154E-2</v>
      </c>
      <c r="Y7" s="131">
        <v>17827</v>
      </c>
      <c r="Z7" s="125">
        <v>5864</v>
      </c>
      <c r="AA7" s="125">
        <v>758</v>
      </c>
      <c r="AB7" s="125">
        <v>72</v>
      </c>
      <c r="AC7" s="125">
        <f t="shared" ref="AC7:AC8" si="7">Y7+Z7+AA7+AB7</f>
        <v>24521</v>
      </c>
      <c r="AD7" s="287">
        <f t="shared" ref="AD7:AD17" si="8">(AC7/W7)-1</f>
        <v>-5.7935379768719542E-2</v>
      </c>
    </row>
    <row r="8" spans="1:30" ht="18" customHeight="1">
      <c r="A8" s="318" t="s">
        <v>25</v>
      </c>
      <c r="B8" s="314">
        <f>43+12995+32</f>
        <v>13070</v>
      </c>
      <c r="C8" s="125">
        <v>3352</v>
      </c>
      <c r="D8" s="125">
        <v>1436</v>
      </c>
      <c r="E8" s="125">
        <v>260</v>
      </c>
      <c r="F8" s="184">
        <f t="shared" si="0"/>
        <v>18118</v>
      </c>
      <c r="G8" s="125">
        <v>12896</v>
      </c>
      <c r="H8" s="125">
        <v>4268</v>
      </c>
      <c r="I8" s="125">
        <v>1420</v>
      </c>
      <c r="J8" s="125">
        <v>211</v>
      </c>
      <c r="K8" s="125">
        <f t="shared" si="5"/>
        <v>18795</v>
      </c>
      <c r="L8" s="287">
        <f t="shared" si="6"/>
        <v>3.7366155204768825E-2</v>
      </c>
      <c r="M8" s="131">
        <v>16306</v>
      </c>
      <c r="N8" s="125">
        <v>6145</v>
      </c>
      <c r="O8" s="125">
        <v>666</v>
      </c>
      <c r="P8" s="125">
        <v>248</v>
      </c>
      <c r="Q8" s="125">
        <f t="shared" si="1"/>
        <v>23365</v>
      </c>
      <c r="R8" s="287">
        <f t="shared" si="2"/>
        <v>0.24314977387603087</v>
      </c>
      <c r="S8" s="131">
        <v>17870</v>
      </c>
      <c r="T8" s="125">
        <v>6690</v>
      </c>
      <c r="U8" s="125">
        <v>698</v>
      </c>
      <c r="V8" s="125">
        <v>205</v>
      </c>
      <c r="W8" s="125">
        <f t="shared" si="3"/>
        <v>25463</v>
      </c>
      <c r="X8" s="287">
        <f t="shared" si="4"/>
        <v>8.9792424566659479E-2</v>
      </c>
      <c r="Y8" s="131">
        <v>16623</v>
      </c>
      <c r="Z8" s="125">
        <v>5355</v>
      </c>
      <c r="AA8" s="125">
        <v>711</v>
      </c>
      <c r="AB8" s="125">
        <v>57</v>
      </c>
      <c r="AC8" s="125">
        <f t="shared" si="7"/>
        <v>22746</v>
      </c>
      <c r="AD8" s="287">
        <f t="shared" si="8"/>
        <v>-0.10670384479440753</v>
      </c>
    </row>
    <row r="9" spans="1:30" ht="18" customHeight="1">
      <c r="A9" s="318" t="s">
        <v>26</v>
      </c>
      <c r="B9" s="314">
        <f>31+9163+29</f>
        <v>9223</v>
      </c>
      <c r="C9" s="125">
        <v>2511</v>
      </c>
      <c r="D9" s="125">
        <v>1109</v>
      </c>
      <c r="E9" s="125">
        <v>242</v>
      </c>
      <c r="F9" s="184">
        <f t="shared" si="0"/>
        <v>13085</v>
      </c>
      <c r="G9" s="125">
        <v>10096</v>
      </c>
      <c r="H9" s="125">
        <v>3293</v>
      </c>
      <c r="I9" s="125">
        <v>1107</v>
      </c>
      <c r="J9" s="125">
        <v>197</v>
      </c>
      <c r="K9" s="125">
        <f t="shared" si="5"/>
        <v>14693</v>
      </c>
      <c r="L9" s="287">
        <f t="shared" si="6"/>
        <v>0.12288880397401614</v>
      </c>
      <c r="M9" s="131">
        <v>14506</v>
      </c>
      <c r="N9" s="125">
        <v>5269</v>
      </c>
      <c r="O9" s="125">
        <v>564</v>
      </c>
      <c r="P9" s="125">
        <v>235</v>
      </c>
      <c r="Q9" s="125">
        <f t="shared" si="1"/>
        <v>20574</v>
      </c>
      <c r="R9" s="287">
        <f t="shared" si="2"/>
        <v>0.40025862655686373</v>
      </c>
      <c r="S9" s="131">
        <v>15732</v>
      </c>
      <c r="T9" s="125">
        <v>5694</v>
      </c>
      <c r="U9" s="125">
        <v>603</v>
      </c>
      <c r="V9" s="125">
        <v>203</v>
      </c>
      <c r="W9" s="125">
        <f t="shared" si="3"/>
        <v>22232</v>
      </c>
      <c r="X9" s="287">
        <f t="shared" si="4"/>
        <v>8.0587148828618727E-2</v>
      </c>
      <c r="Y9" s="131">
        <v>11808</v>
      </c>
      <c r="Z9" s="125">
        <v>3683</v>
      </c>
      <c r="AA9" s="125">
        <v>490</v>
      </c>
      <c r="AB9" s="125">
        <v>41</v>
      </c>
      <c r="AC9" s="125">
        <f t="shared" ref="AC9:AC10" si="9">Y9+Z9+AA9+AB9</f>
        <v>16022</v>
      </c>
      <c r="AD9" s="287">
        <f t="shared" ref="AD9:AD11" si="10">(AC9/W9)-1</f>
        <v>-0.27932709607772577</v>
      </c>
    </row>
    <row r="10" spans="1:30" ht="18" customHeight="1">
      <c r="A10" s="318" t="s">
        <v>27</v>
      </c>
      <c r="B10" s="314">
        <f>29+7523+32</f>
        <v>7584</v>
      </c>
      <c r="C10" s="125">
        <v>2003</v>
      </c>
      <c r="D10" s="125">
        <v>942</v>
      </c>
      <c r="E10" s="125">
        <v>211</v>
      </c>
      <c r="F10" s="184">
        <f t="shared" si="0"/>
        <v>10740</v>
      </c>
      <c r="G10" s="125">
        <v>8441</v>
      </c>
      <c r="H10" s="125">
        <v>2526</v>
      </c>
      <c r="I10" s="125">
        <v>953</v>
      </c>
      <c r="J10" s="125">
        <v>189</v>
      </c>
      <c r="K10" s="125">
        <f t="shared" si="5"/>
        <v>12109</v>
      </c>
      <c r="L10" s="287">
        <f t="shared" si="6"/>
        <v>0.1274674115456238</v>
      </c>
      <c r="M10" s="131">
        <v>11333</v>
      </c>
      <c r="N10" s="125">
        <v>3837</v>
      </c>
      <c r="O10" s="125">
        <v>441</v>
      </c>
      <c r="P10" s="125">
        <v>230</v>
      </c>
      <c r="Q10" s="125">
        <f t="shared" si="1"/>
        <v>15841</v>
      </c>
      <c r="R10" s="287">
        <f t="shared" si="2"/>
        <v>0.30820051201585597</v>
      </c>
      <c r="S10" s="131">
        <v>13979</v>
      </c>
      <c r="T10" s="125">
        <v>4156</v>
      </c>
      <c r="U10" s="125">
        <v>499</v>
      </c>
      <c r="V10" s="125">
        <v>199</v>
      </c>
      <c r="W10" s="125">
        <f t="shared" si="3"/>
        <v>18833</v>
      </c>
      <c r="X10" s="287">
        <f t="shared" si="4"/>
        <v>0.18887696483807837</v>
      </c>
      <c r="Y10" s="131">
        <v>8813</v>
      </c>
      <c r="Z10" s="125">
        <v>2251</v>
      </c>
      <c r="AA10" s="125">
        <v>344</v>
      </c>
      <c r="AB10" s="125">
        <v>34</v>
      </c>
      <c r="AC10" s="125">
        <f t="shared" si="9"/>
        <v>11442</v>
      </c>
      <c r="AD10" s="287">
        <f t="shared" si="10"/>
        <v>-0.39244942388360859</v>
      </c>
    </row>
    <row r="11" spans="1:30" ht="18" customHeight="1" thickBot="1">
      <c r="A11" s="400" t="s">
        <v>28</v>
      </c>
      <c r="B11" s="409">
        <f>26+8150+33</f>
        <v>8209</v>
      </c>
      <c r="C11" s="377">
        <v>1838</v>
      </c>
      <c r="D11" s="377">
        <v>869</v>
      </c>
      <c r="E11" s="377">
        <v>188</v>
      </c>
      <c r="F11" s="384">
        <f t="shared" si="0"/>
        <v>11104</v>
      </c>
      <c r="G11" s="377">
        <v>9388</v>
      </c>
      <c r="H11" s="377">
        <v>2158</v>
      </c>
      <c r="I11" s="377">
        <v>982</v>
      </c>
      <c r="J11" s="377">
        <v>191</v>
      </c>
      <c r="K11" s="377">
        <f t="shared" si="5"/>
        <v>12719</v>
      </c>
      <c r="L11" s="288">
        <f t="shared" si="6"/>
        <v>0.14544308357348701</v>
      </c>
      <c r="M11" s="410">
        <v>11649</v>
      </c>
      <c r="N11" s="377">
        <v>3218</v>
      </c>
      <c r="O11" s="377">
        <v>403</v>
      </c>
      <c r="P11" s="377">
        <v>218</v>
      </c>
      <c r="Q11" s="377">
        <f t="shared" si="1"/>
        <v>15488</v>
      </c>
      <c r="R11" s="288">
        <f t="shared" si="2"/>
        <v>0.21770579448069816</v>
      </c>
      <c r="S11" s="410">
        <v>14801</v>
      </c>
      <c r="T11" s="377">
        <v>3516</v>
      </c>
      <c r="U11" s="377">
        <v>443</v>
      </c>
      <c r="V11" s="377">
        <v>196</v>
      </c>
      <c r="W11" s="377">
        <f t="shared" si="3"/>
        <v>18956</v>
      </c>
      <c r="X11" s="288">
        <f t="shared" si="4"/>
        <v>0.22391528925619841</v>
      </c>
      <c r="Y11" s="410">
        <v>9419</v>
      </c>
      <c r="Z11" s="377">
        <v>1758</v>
      </c>
      <c r="AA11" s="377">
        <v>301</v>
      </c>
      <c r="AB11" s="377">
        <v>33</v>
      </c>
      <c r="AC11" s="377">
        <f>Y11+Z11+AA11+AB11</f>
        <v>11511</v>
      </c>
      <c r="AD11" s="288">
        <f t="shared" si="10"/>
        <v>-0.39275163536611102</v>
      </c>
    </row>
    <row r="12" spans="1:30" ht="39" customHeight="1" thickBot="1">
      <c r="A12" s="319" t="s">
        <v>46</v>
      </c>
      <c r="B12" s="414">
        <f t="shared" ref="B12:J12" si="11">AVERAGE(B6:B11)</f>
        <v>11032.833333333334</v>
      </c>
      <c r="C12" s="289">
        <f t="shared" si="11"/>
        <v>2780.1666666666665</v>
      </c>
      <c r="D12" s="289">
        <f t="shared" si="11"/>
        <v>1234.3333333333333</v>
      </c>
      <c r="E12" s="289">
        <f t="shared" si="11"/>
        <v>239.33333333333334</v>
      </c>
      <c r="F12" s="415">
        <f t="shared" si="11"/>
        <v>15286.666666666666</v>
      </c>
      <c r="G12" s="289">
        <f t="shared" si="11"/>
        <v>11445.666666666666</v>
      </c>
      <c r="H12" s="289">
        <f t="shared" si="11"/>
        <v>3534.5</v>
      </c>
      <c r="I12" s="289">
        <f t="shared" si="11"/>
        <v>1231.3333333333333</v>
      </c>
      <c r="J12" s="289">
        <f t="shared" si="11"/>
        <v>205.5</v>
      </c>
      <c r="K12" s="289">
        <f>AVERAGE(K6:K11)</f>
        <v>16417</v>
      </c>
      <c r="L12" s="416">
        <f t="shared" si="6"/>
        <v>7.3942433493240367E-2</v>
      </c>
      <c r="M12" s="289">
        <f>AVERAGE(M6:M11)</f>
        <v>14661.666666666666</v>
      </c>
      <c r="N12" s="289">
        <f>AVERAGE(N6:N11)</f>
        <v>5171</v>
      </c>
      <c r="O12" s="289">
        <f>AVERAGE(O6:O11)</f>
        <v>570.83333333333337</v>
      </c>
      <c r="P12" s="289">
        <f>AVERAGE(P6:P11)</f>
        <v>236.16666666666666</v>
      </c>
      <c r="Q12" s="289">
        <f>AVERAGE(Q6:Q11)</f>
        <v>20639.666666666668</v>
      </c>
      <c r="R12" s="416">
        <f t="shared" si="2"/>
        <v>0.25721305151164442</v>
      </c>
      <c r="S12" s="289">
        <f>AVERAGE(S6:S11)</f>
        <v>16513.166666666668</v>
      </c>
      <c r="T12" s="289">
        <f>AVERAGE(T6:T11)</f>
        <v>5680</v>
      </c>
      <c r="U12" s="289">
        <f>AVERAGE(U6:U11)</f>
        <v>621</v>
      </c>
      <c r="V12" s="289">
        <f>AVERAGE(V6:V11)</f>
        <v>208</v>
      </c>
      <c r="W12" s="289">
        <f>AVERAGE(W6:W11)</f>
        <v>23022.166666666668</v>
      </c>
      <c r="X12" s="416">
        <f t="shared" si="4"/>
        <v>0.1154330657794862</v>
      </c>
      <c r="Y12" s="289">
        <f>AVERAGE(Y6:Y11)</f>
        <v>13901.333333333334</v>
      </c>
      <c r="Z12" s="289">
        <f>AVERAGE(Z6:Z11)</f>
        <v>4160</v>
      </c>
      <c r="AA12" s="289">
        <f>AVERAGE(AA6:AA11)</f>
        <v>564.16666666666663</v>
      </c>
      <c r="AB12" s="289">
        <f>AVERAGE(AB6:AB11)</f>
        <v>54.833333333333336</v>
      </c>
      <c r="AC12" s="289">
        <f>AVERAGE(AC6:AC11)</f>
        <v>18680.333333333332</v>
      </c>
      <c r="AD12" s="416">
        <f t="shared" si="8"/>
        <v>-0.18859360181853735</v>
      </c>
    </row>
    <row r="13" spans="1:30" ht="18" customHeight="1">
      <c r="A13" s="317" t="s">
        <v>29</v>
      </c>
      <c r="B13" s="411">
        <f>25+9671+40</f>
        <v>9736</v>
      </c>
      <c r="C13" s="369">
        <v>1885</v>
      </c>
      <c r="D13" s="369">
        <v>934</v>
      </c>
      <c r="E13" s="369">
        <v>194</v>
      </c>
      <c r="F13" s="370">
        <f t="shared" ref="F13:F18" si="12">B13+C13+D13+E13</f>
        <v>12749</v>
      </c>
      <c r="G13" s="369">
        <v>11219</v>
      </c>
      <c r="H13" s="369">
        <v>2316</v>
      </c>
      <c r="I13" s="369">
        <v>1018</v>
      </c>
      <c r="J13" s="369">
        <v>206</v>
      </c>
      <c r="K13" s="369">
        <f t="shared" si="5"/>
        <v>14759</v>
      </c>
      <c r="L13" s="412">
        <f t="shared" si="6"/>
        <v>0.15765942426857005</v>
      </c>
      <c r="M13" s="413">
        <v>13594</v>
      </c>
      <c r="N13" s="369">
        <v>3323</v>
      </c>
      <c r="O13" s="369">
        <v>424</v>
      </c>
      <c r="P13" s="369">
        <v>218</v>
      </c>
      <c r="Q13" s="369">
        <f t="shared" si="1"/>
        <v>17559</v>
      </c>
      <c r="R13" s="412">
        <f t="shared" si="2"/>
        <v>0.18971475032183749</v>
      </c>
      <c r="S13" s="413">
        <v>15947</v>
      </c>
      <c r="T13" s="369">
        <v>3494</v>
      </c>
      <c r="U13" s="369">
        <v>405</v>
      </c>
      <c r="V13" s="369">
        <v>180</v>
      </c>
      <c r="W13" s="369">
        <f t="shared" si="3"/>
        <v>20026</v>
      </c>
      <c r="X13" s="412">
        <f t="shared" si="4"/>
        <v>0.14049775044136914</v>
      </c>
      <c r="Y13" s="413">
        <v>10834</v>
      </c>
      <c r="Z13" s="369">
        <v>1783</v>
      </c>
      <c r="AA13" s="369">
        <v>295</v>
      </c>
      <c r="AB13" s="369">
        <v>30</v>
      </c>
      <c r="AC13" s="369">
        <f>Y13+Z13+AA13+AB13</f>
        <v>12942</v>
      </c>
      <c r="AD13" s="412">
        <f t="shared" si="8"/>
        <v>-0.35374013782083291</v>
      </c>
    </row>
    <row r="14" spans="1:30" ht="18" customHeight="1">
      <c r="A14" s="318" t="s">
        <v>7</v>
      </c>
      <c r="B14" s="314">
        <f>25+9478+31</f>
        <v>9534</v>
      </c>
      <c r="C14" s="125">
        <v>1732</v>
      </c>
      <c r="D14" s="125">
        <v>878</v>
      </c>
      <c r="E14" s="125">
        <v>176</v>
      </c>
      <c r="F14" s="184">
        <f t="shared" si="12"/>
        <v>12320</v>
      </c>
      <c r="G14" s="125">
        <v>11140</v>
      </c>
      <c r="H14" s="125">
        <v>2110</v>
      </c>
      <c r="I14" s="125">
        <v>942</v>
      </c>
      <c r="J14" s="125">
        <v>164</v>
      </c>
      <c r="K14" s="125">
        <f t="shared" si="5"/>
        <v>14356</v>
      </c>
      <c r="L14" s="287">
        <f t="shared" si="6"/>
        <v>0.16525974025974022</v>
      </c>
      <c r="M14" s="131">
        <v>13045</v>
      </c>
      <c r="N14" s="125">
        <v>2981</v>
      </c>
      <c r="O14" s="125">
        <v>375</v>
      </c>
      <c r="P14" s="125">
        <v>205</v>
      </c>
      <c r="Q14" s="125">
        <f t="shared" si="1"/>
        <v>16606</v>
      </c>
      <c r="R14" s="287">
        <f t="shared" si="2"/>
        <v>0.15672889384229594</v>
      </c>
      <c r="S14" s="131">
        <v>15595</v>
      </c>
      <c r="T14" s="125">
        <v>3173</v>
      </c>
      <c r="U14" s="125">
        <v>403</v>
      </c>
      <c r="V14" s="125">
        <v>159</v>
      </c>
      <c r="W14" s="125">
        <f t="shared" si="3"/>
        <v>19330</v>
      </c>
      <c r="X14" s="287">
        <f t="shared" si="4"/>
        <v>0.16403709502589425</v>
      </c>
      <c r="Y14" s="131">
        <v>10494</v>
      </c>
      <c r="Z14" s="125">
        <v>1560</v>
      </c>
      <c r="AA14" s="125">
        <v>271</v>
      </c>
      <c r="AB14" s="125">
        <v>24</v>
      </c>
      <c r="AC14" s="125">
        <f>Y14+Z14+AA14+AB14</f>
        <v>12349</v>
      </c>
      <c r="AD14" s="287">
        <f t="shared" si="8"/>
        <v>-0.36114847387480598</v>
      </c>
    </row>
    <row r="15" spans="1:30" ht="18" customHeight="1">
      <c r="A15" s="318" t="s">
        <v>30</v>
      </c>
      <c r="B15" s="314">
        <f>31+8436+40</f>
        <v>8507</v>
      </c>
      <c r="C15" s="125">
        <v>1741</v>
      </c>
      <c r="D15" s="125">
        <v>889</v>
      </c>
      <c r="E15" s="125">
        <v>186</v>
      </c>
      <c r="F15" s="184">
        <f t="shared" si="12"/>
        <v>11323</v>
      </c>
      <c r="G15" s="125">
        <v>10381</v>
      </c>
      <c r="H15" s="125">
        <v>2228</v>
      </c>
      <c r="I15" s="125">
        <v>985</v>
      </c>
      <c r="J15" s="125">
        <v>186</v>
      </c>
      <c r="K15" s="125">
        <f t="shared" si="5"/>
        <v>13780</v>
      </c>
      <c r="L15" s="287">
        <f t="shared" si="6"/>
        <v>0.21699196326061987</v>
      </c>
      <c r="M15" s="131">
        <v>12640</v>
      </c>
      <c r="N15" s="125">
        <v>3155</v>
      </c>
      <c r="O15" s="125">
        <v>389</v>
      </c>
      <c r="P15" s="125">
        <v>210</v>
      </c>
      <c r="Q15" s="125">
        <f t="shared" si="1"/>
        <v>16394</v>
      </c>
      <c r="R15" s="287">
        <f t="shared" si="2"/>
        <v>0.18969521044992743</v>
      </c>
      <c r="S15" s="131">
        <v>15884</v>
      </c>
      <c r="T15" s="125">
        <v>3158</v>
      </c>
      <c r="U15" s="125">
        <v>414</v>
      </c>
      <c r="V15" s="125">
        <v>156</v>
      </c>
      <c r="W15" s="125">
        <f t="shared" si="3"/>
        <v>19612</v>
      </c>
      <c r="X15" s="287">
        <f t="shared" si="4"/>
        <v>0.19629132609491284</v>
      </c>
      <c r="Y15" s="131">
        <v>10333</v>
      </c>
      <c r="Z15" s="125">
        <v>1632</v>
      </c>
      <c r="AA15" s="125">
        <v>276</v>
      </c>
      <c r="AB15" s="125">
        <v>27</v>
      </c>
      <c r="AC15" s="125">
        <f>Y15+Z15+AA15+AB15</f>
        <v>12268</v>
      </c>
      <c r="AD15" s="287">
        <f t="shared" si="8"/>
        <v>-0.3744646135019376</v>
      </c>
    </row>
    <row r="16" spans="1:30" ht="18" customHeight="1">
      <c r="A16" s="318" t="s">
        <v>31</v>
      </c>
      <c r="B16" s="314">
        <f>33+6863+39</f>
        <v>6935</v>
      </c>
      <c r="C16" s="125">
        <v>1819</v>
      </c>
      <c r="D16" s="125">
        <v>856</v>
      </c>
      <c r="E16" s="125">
        <v>192</v>
      </c>
      <c r="F16" s="184">
        <f t="shared" si="12"/>
        <v>9802</v>
      </c>
      <c r="G16" s="125">
        <v>8721</v>
      </c>
      <c r="H16" s="125">
        <v>2360</v>
      </c>
      <c r="I16" s="125">
        <v>993</v>
      </c>
      <c r="J16" s="125">
        <v>185</v>
      </c>
      <c r="K16" s="125">
        <f t="shared" si="5"/>
        <v>12259</v>
      </c>
      <c r="L16" s="287">
        <f t="shared" si="6"/>
        <v>0.25066312997347473</v>
      </c>
      <c r="M16" s="131">
        <v>10491</v>
      </c>
      <c r="N16" s="125">
        <v>3291</v>
      </c>
      <c r="O16" s="125">
        <v>392</v>
      </c>
      <c r="P16" s="125">
        <v>194</v>
      </c>
      <c r="Q16" s="125">
        <f t="shared" si="1"/>
        <v>14368</v>
      </c>
      <c r="R16" s="287">
        <f t="shared" si="2"/>
        <v>0.172036870870381</v>
      </c>
      <c r="S16" s="131">
        <v>13213</v>
      </c>
      <c r="T16" s="125">
        <v>2968</v>
      </c>
      <c r="U16" s="125">
        <v>397</v>
      </c>
      <c r="V16" s="125">
        <v>148</v>
      </c>
      <c r="W16" s="125">
        <f t="shared" si="3"/>
        <v>16726</v>
      </c>
      <c r="X16" s="287">
        <f t="shared" si="4"/>
        <v>0.16411469933184852</v>
      </c>
      <c r="Y16" s="131">
        <v>7997</v>
      </c>
      <c r="Z16" s="125">
        <v>1711</v>
      </c>
      <c r="AA16" s="125">
        <v>283</v>
      </c>
      <c r="AB16" s="125">
        <v>28</v>
      </c>
      <c r="AC16" s="125">
        <f>Y16+Z16+AA16+AB16</f>
        <v>10019</v>
      </c>
      <c r="AD16" s="287">
        <f t="shared" si="8"/>
        <v>-0.4009924668181275</v>
      </c>
    </row>
    <row r="17" spans="1:30" ht="18" customHeight="1">
      <c r="A17" s="318" t="s">
        <v>32</v>
      </c>
      <c r="B17" s="314">
        <f>42+9563+40</f>
        <v>9645</v>
      </c>
      <c r="C17" s="125">
        <v>2936</v>
      </c>
      <c r="D17" s="125">
        <v>1220</v>
      </c>
      <c r="E17" s="125">
        <v>195</v>
      </c>
      <c r="F17" s="184">
        <f t="shared" si="12"/>
        <v>13996</v>
      </c>
      <c r="G17" s="125">
        <v>11869</v>
      </c>
      <c r="H17" s="125">
        <v>4096</v>
      </c>
      <c r="I17" s="125">
        <v>1348</v>
      </c>
      <c r="J17" s="125">
        <v>210</v>
      </c>
      <c r="K17" s="125">
        <f t="shared" si="5"/>
        <v>17523</v>
      </c>
      <c r="L17" s="287">
        <f t="shared" si="6"/>
        <v>0.25200057159188338</v>
      </c>
      <c r="M17" s="131">
        <v>13799</v>
      </c>
      <c r="N17" s="125">
        <v>5261</v>
      </c>
      <c r="O17" s="125">
        <v>501</v>
      </c>
      <c r="P17" s="125">
        <v>200</v>
      </c>
      <c r="Q17" s="125">
        <f t="shared" si="1"/>
        <v>19761</v>
      </c>
      <c r="R17" s="287">
        <f t="shared" si="2"/>
        <v>0.12771785653141587</v>
      </c>
      <c r="S17" s="131">
        <v>15794</v>
      </c>
      <c r="T17" s="125">
        <v>4751</v>
      </c>
      <c r="U17" s="125">
        <v>567</v>
      </c>
      <c r="V17" s="125">
        <v>128</v>
      </c>
      <c r="W17" s="125">
        <f>S17+T17+U17+V17</f>
        <v>21240</v>
      </c>
      <c r="X17" s="287">
        <f>W17/Q17-1</f>
        <v>7.484439046606961E-2</v>
      </c>
      <c r="Y17" s="131">
        <v>12548</v>
      </c>
      <c r="Z17" s="125">
        <v>4078</v>
      </c>
      <c r="AA17" s="125">
        <v>544</v>
      </c>
      <c r="AB17" s="125">
        <v>42</v>
      </c>
      <c r="AC17" s="125">
        <f>Y17+Z17+AA17+AB17</f>
        <v>17212</v>
      </c>
      <c r="AD17" s="287">
        <f t="shared" si="8"/>
        <v>-0.18964218455743875</v>
      </c>
    </row>
    <row r="18" spans="1:30" ht="18" customHeight="1" thickBot="1">
      <c r="A18" s="400" t="s">
        <v>33</v>
      </c>
      <c r="B18" s="409">
        <f>51+12662+37</f>
        <v>12750</v>
      </c>
      <c r="C18" s="377">
        <v>3727</v>
      </c>
      <c r="D18" s="377">
        <v>1441</v>
      </c>
      <c r="E18" s="377">
        <v>197</v>
      </c>
      <c r="F18" s="384">
        <f t="shared" si="12"/>
        <v>18115</v>
      </c>
      <c r="G18" s="377">
        <v>15176</v>
      </c>
      <c r="H18" s="377">
        <v>5046</v>
      </c>
      <c r="I18" s="377">
        <v>1588</v>
      </c>
      <c r="J18" s="377">
        <v>241</v>
      </c>
      <c r="K18" s="377">
        <f t="shared" si="5"/>
        <v>22051</v>
      </c>
      <c r="L18" s="288">
        <f t="shared" si="6"/>
        <v>0.21727849848192116</v>
      </c>
      <c r="M18" s="410">
        <v>16963</v>
      </c>
      <c r="N18" s="377">
        <v>6374</v>
      </c>
      <c r="O18" s="377">
        <v>637</v>
      </c>
      <c r="P18" s="377">
        <v>221</v>
      </c>
      <c r="Q18" s="377">
        <f t="shared" si="1"/>
        <v>24195</v>
      </c>
      <c r="R18" s="288">
        <f t="shared" si="2"/>
        <v>9.7229150605414816E-2</v>
      </c>
      <c r="S18" s="410">
        <v>18336</v>
      </c>
      <c r="T18" s="377">
        <v>5700</v>
      </c>
      <c r="U18" s="377">
        <v>710</v>
      </c>
      <c r="V18" s="377">
        <v>109</v>
      </c>
      <c r="W18" s="377">
        <f>S18+T18+U18+V18</f>
        <v>24855</v>
      </c>
      <c r="X18" s="288">
        <f>W18/Q18-1</f>
        <v>2.7278363298202102E-2</v>
      </c>
      <c r="Y18" s="410"/>
      <c r="Z18" s="377"/>
      <c r="AA18" s="377"/>
      <c r="AB18" s="377"/>
      <c r="AC18" s="377"/>
      <c r="AD18" s="288"/>
    </row>
    <row r="19" spans="1:30" ht="39" customHeight="1">
      <c r="A19" s="417" t="s">
        <v>47</v>
      </c>
      <c r="B19" s="418">
        <f t="shared" ref="B19:K19" si="13">AVERAGE(B13:B18)</f>
        <v>9517.8333333333339</v>
      </c>
      <c r="C19" s="418">
        <f t="shared" si="13"/>
        <v>2306.6666666666665</v>
      </c>
      <c r="D19" s="418">
        <f t="shared" si="13"/>
        <v>1036.3333333333333</v>
      </c>
      <c r="E19" s="418">
        <f t="shared" si="13"/>
        <v>190</v>
      </c>
      <c r="F19" s="418">
        <f t="shared" si="13"/>
        <v>13050.833333333334</v>
      </c>
      <c r="G19" s="418">
        <f t="shared" si="13"/>
        <v>11417.666666666666</v>
      </c>
      <c r="H19" s="418">
        <f t="shared" si="13"/>
        <v>3026</v>
      </c>
      <c r="I19" s="418">
        <f t="shared" si="13"/>
        <v>1145.6666666666667</v>
      </c>
      <c r="J19" s="418">
        <f t="shared" si="13"/>
        <v>198.66666666666666</v>
      </c>
      <c r="K19" s="418">
        <f t="shared" si="13"/>
        <v>15788</v>
      </c>
      <c r="L19" s="419">
        <f t="shared" si="6"/>
        <v>0.2097311793627481</v>
      </c>
      <c r="M19" s="418">
        <f>AVERAGE(M13:M18)</f>
        <v>13422</v>
      </c>
      <c r="N19" s="418">
        <f>AVERAGE(N13:N18)</f>
        <v>4064.1666666666665</v>
      </c>
      <c r="O19" s="418">
        <f>AVERAGE(O13:O18)</f>
        <v>453</v>
      </c>
      <c r="P19" s="418">
        <f>AVERAGE(P13:P18)</f>
        <v>208</v>
      </c>
      <c r="Q19" s="418">
        <f>AVERAGE(Q13:Q18)</f>
        <v>18147.166666666668</v>
      </c>
      <c r="R19" s="484">
        <f t="shared" si="2"/>
        <v>0.14942783548686767</v>
      </c>
      <c r="S19" s="488">
        <f>AVERAGE(S13:S18)</f>
        <v>15794.833333333334</v>
      </c>
      <c r="T19" s="418">
        <f>AVERAGE(T13:T18)</f>
        <v>3874</v>
      </c>
      <c r="U19" s="418">
        <f>AVERAGE(U13:U18)</f>
        <v>482.66666666666669</v>
      </c>
      <c r="V19" s="418">
        <f>AVERAGE(V13:V18)</f>
        <v>146.66666666666666</v>
      </c>
      <c r="W19" s="418">
        <f>AVERAGE(W13:W18)</f>
        <v>20298.166666666668</v>
      </c>
      <c r="X19" s="420">
        <f>W19/Q19-1</f>
        <v>0.1185309001405177</v>
      </c>
      <c r="Y19" s="486"/>
      <c r="Z19" s="418"/>
      <c r="AA19" s="418"/>
      <c r="AB19" s="418"/>
      <c r="AC19" s="418"/>
      <c r="AD19" s="420"/>
    </row>
    <row r="20" spans="1:30" ht="37.5" customHeight="1" thickBot="1">
      <c r="A20" s="421" t="s">
        <v>48</v>
      </c>
      <c r="B20" s="422">
        <f t="shared" ref="B20:K20" si="14">AVERAGE(B6:B11,B13:B18)</f>
        <v>10275.333333333334</v>
      </c>
      <c r="C20" s="422">
        <f t="shared" si="14"/>
        <v>2543.4166666666665</v>
      </c>
      <c r="D20" s="422">
        <f t="shared" si="14"/>
        <v>1135.3333333333333</v>
      </c>
      <c r="E20" s="422">
        <f t="shared" si="14"/>
        <v>214.66666666666666</v>
      </c>
      <c r="F20" s="422">
        <f t="shared" si="14"/>
        <v>14168.75</v>
      </c>
      <c r="G20" s="423">
        <f t="shared" si="14"/>
        <v>11431.666666666666</v>
      </c>
      <c r="H20" s="423">
        <f t="shared" si="14"/>
        <v>3280.25</v>
      </c>
      <c r="I20" s="423">
        <f t="shared" si="14"/>
        <v>1188.5</v>
      </c>
      <c r="J20" s="423">
        <f t="shared" si="14"/>
        <v>202.08333333333334</v>
      </c>
      <c r="K20" s="423">
        <f t="shared" si="14"/>
        <v>16102.5</v>
      </c>
      <c r="L20" s="424">
        <f t="shared" si="6"/>
        <v>0.13647992942214371</v>
      </c>
      <c r="M20" s="423">
        <f>AVERAGE(M6:M11,M13:M18)</f>
        <v>14041.833333333334</v>
      </c>
      <c r="N20" s="423">
        <f>AVERAGE(N6:N11,N13:N18)</f>
        <v>4617.583333333333</v>
      </c>
      <c r="O20" s="423">
        <f>AVERAGE(O6:O11,O13:O18)</f>
        <v>511.91666666666669</v>
      </c>
      <c r="P20" s="423">
        <f>AVERAGE(P6:P11,P13:P18)</f>
        <v>222.08333333333334</v>
      </c>
      <c r="Q20" s="423">
        <f>AVERAGE(Q6:Q11,Q13:Q18)</f>
        <v>19393.416666666668</v>
      </c>
      <c r="R20" s="485">
        <f t="shared" si="2"/>
        <v>0.20437302696268711</v>
      </c>
      <c r="S20" s="489">
        <f>AVERAGE(S6:S11,S13:S18)</f>
        <v>16154</v>
      </c>
      <c r="T20" s="423">
        <f>AVERAGE(T6:T11,T13:T18)</f>
        <v>4777</v>
      </c>
      <c r="U20" s="423">
        <f>AVERAGE(U6:U11,U13:U18)</f>
        <v>551.83333333333337</v>
      </c>
      <c r="V20" s="423">
        <f>AVERAGE(V6:V11,V13:V18)</f>
        <v>177.33333333333334</v>
      </c>
      <c r="W20" s="423">
        <f>AVERAGE(W6:W11,W13:W18)</f>
        <v>21660.166666666668</v>
      </c>
      <c r="X20" s="425">
        <f>W20/Q20-1</f>
        <v>0.11688244722221031</v>
      </c>
      <c r="Y20" s="487"/>
      <c r="Z20" s="423"/>
      <c r="AA20" s="423"/>
      <c r="AB20" s="423"/>
      <c r="AC20" s="423"/>
      <c r="AD20" s="425"/>
    </row>
    <row r="21" spans="1:30">
      <c r="L21" s="151"/>
    </row>
    <row r="22" spans="1:30">
      <c r="L22" s="176"/>
    </row>
    <row r="23" spans="1:30" ht="26.25" customHeight="1">
      <c r="A23" s="549" t="s">
        <v>45</v>
      </c>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row>
    <row r="26" spans="1:30">
      <c r="A26" s="101"/>
    </row>
    <row r="27" spans="1:30">
      <c r="A27" s="138" t="s">
        <v>110</v>
      </c>
      <c r="H27" s="81"/>
      <c r="I27" s="102"/>
      <c r="J27" s="102"/>
      <c r="K27" s="102"/>
      <c r="O27" s="81"/>
      <c r="P27" s="102"/>
      <c r="Q27" s="102"/>
      <c r="R27" s="102"/>
      <c r="S27" s="102"/>
      <c r="T27" s="102"/>
      <c r="U27" s="102"/>
      <c r="V27" s="102"/>
      <c r="W27" s="102"/>
      <c r="X27" s="102"/>
      <c r="AA27" s="81"/>
      <c r="AB27" s="540" t="s">
        <v>15</v>
      </c>
      <c r="AC27" s="540"/>
      <c r="AD27" s="102"/>
    </row>
    <row r="28" spans="1:30">
      <c r="A28" s="82">
        <f>'άνεργοι κατά μήνα 2007-2014'!A25</f>
        <v>42054</v>
      </c>
      <c r="H28" s="102"/>
      <c r="I28" s="102"/>
      <c r="J28" s="102"/>
      <c r="K28" s="102"/>
      <c r="O28" s="540"/>
      <c r="P28" s="540"/>
      <c r="Q28" s="540"/>
      <c r="R28" s="540"/>
      <c r="S28" s="482"/>
      <c r="T28" s="482"/>
      <c r="U28" s="482"/>
      <c r="V28" s="482"/>
      <c r="W28" s="482"/>
      <c r="X28" s="482"/>
      <c r="AA28" s="540" t="s">
        <v>14</v>
      </c>
      <c r="AB28" s="540"/>
      <c r="AC28" s="540"/>
      <c r="AD28" s="540"/>
    </row>
  </sheetData>
  <mergeCells count="15">
    <mergeCell ref="O28:R28"/>
    <mergeCell ref="M4:Q4"/>
    <mergeCell ref="R4:R5"/>
    <mergeCell ref="AB27:AC27"/>
    <mergeCell ref="AA28:AD28"/>
    <mergeCell ref="A23:AD23"/>
    <mergeCell ref="Y4:AC4"/>
    <mergeCell ref="AD4:AD5"/>
    <mergeCell ref="X4:X5"/>
    <mergeCell ref="A2:AD2"/>
    <mergeCell ref="A3:B3"/>
    <mergeCell ref="L4:L5"/>
    <mergeCell ref="B4:F4"/>
    <mergeCell ref="G4:K4"/>
    <mergeCell ref="S4:W4"/>
  </mergeCells>
  <pageMargins left="0" right="0" top="0.35433070866141736"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AD36"/>
  <sheetViews>
    <sheetView tabSelected="1" topLeftCell="P1" zoomScaleNormal="100" workbookViewId="0">
      <selection activeCell="AB11" sqref="AB11"/>
    </sheetView>
  </sheetViews>
  <sheetFormatPr defaultColWidth="17.7109375" defaultRowHeight="12.75"/>
  <cols>
    <col min="1" max="1" width="17.28515625" customWidth="1"/>
    <col min="2" max="2" width="9.5703125" hidden="1" customWidth="1"/>
    <col min="3" max="5" width="14.140625" hidden="1" customWidth="1"/>
    <col min="6" max="6" width="9.7109375" hidden="1" customWidth="1"/>
    <col min="7" max="7" width="14" hidden="1" customWidth="1"/>
    <col min="8" max="8" width="8.5703125" hidden="1" customWidth="1"/>
    <col min="9" max="9" width="14.5703125" hidden="1" customWidth="1"/>
    <col min="10" max="10" width="8.42578125" hidden="1" customWidth="1"/>
    <col min="11" max="11" width="14.85546875" hidden="1" customWidth="1"/>
    <col min="12" max="12" width="9.5703125" hidden="1" customWidth="1"/>
    <col min="13" max="13" width="8.28515625" hidden="1" customWidth="1"/>
    <col min="14" max="14" width="14.7109375" hidden="1" customWidth="1"/>
    <col min="15" max="15" width="9" hidden="1" customWidth="1"/>
    <col min="16" max="16" width="8.7109375" customWidth="1"/>
    <col min="17" max="17" width="14.7109375" customWidth="1"/>
    <col min="18" max="18" width="8.28515625" customWidth="1"/>
    <col min="19" max="19" width="8.85546875" customWidth="1"/>
    <col min="20" max="20" width="15.5703125" customWidth="1"/>
    <col min="21" max="21" width="8" customWidth="1"/>
    <col min="22" max="22" width="8.5703125" customWidth="1"/>
    <col min="23" max="23" width="15.7109375" customWidth="1"/>
    <col min="24" max="24" width="8.42578125" customWidth="1"/>
    <col min="25" max="25" width="8.5703125" customWidth="1"/>
    <col min="26" max="26" width="15.7109375" customWidth="1"/>
    <col min="27" max="27" width="8.42578125" customWidth="1"/>
  </cols>
  <sheetData>
    <row r="1" spans="1:27">
      <c r="A1" s="426" t="s">
        <v>108</v>
      </c>
    </row>
    <row r="2" spans="1:27" ht="24" customHeight="1">
      <c r="A2" s="553" t="s">
        <v>125</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row>
    <row r="3" spans="1:27" ht="13.5" customHeight="1" thickBot="1"/>
    <row r="4" spans="1:27" ht="12.75" customHeight="1" thickBot="1">
      <c r="A4" s="76"/>
      <c r="B4" s="557">
        <v>2005</v>
      </c>
      <c r="C4" s="562"/>
      <c r="D4" s="557">
        <v>2006</v>
      </c>
      <c r="E4" s="562"/>
      <c r="F4" s="557">
        <v>2007</v>
      </c>
      <c r="G4" s="562"/>
      <c r="H4" s="557">
        <v>2008</v>
      </c>
      <c r="I4" s="562"/>
      <c r="J4" s="557">
        <v>2009</v>
      </c>
      <c r="K4" s="558"/>
      <c r="L4" s="559" t="s">
        <v>36</v>
      </c>
      <c r="M4" s="557">
        <v>2010</v>
      </c>
      <c r="N4" s="558"/>
      <c r="O4" s="559" t="s">
        <v>37</v>
      </c>
      <c r="P4" s="567">
        <v>2011</v>
      </c>
      <c r="Q4" s="558"/>
      <c r="R4" s="559" t="s">
        <v>39</v>
      </c>
      <c r="S4" s="557">
        <v>2012</v>
      </c>
      <c r="T4" s="558"/>
      <c r="U4" s="559" t="s">
        <v>65</v>
      </c>
      <c r="V4" s="557">
        <v>2013</v>
      </c>
      <c r="W4" s="558"/>
      <c r="X4" s="559" t="s">
        <v>99</v>
      </c>
      <c r="Y4" s="557">
        <v>2014</v>
      </c>
      <c r="Z4" s="558"/>
      <c r="AA4" s="559" t="s">
        <v>148</v>
      </c>
    </row>
    <row r="5" spans="1:27" ht="12.75" customHeight="1">
      <c r="A5" s="401" t="s">
        <v>17</v>
      </c>
      <c r="B5" s="83" t="s">
        <v>18</v>
      </c>
      <c r="C5" s="86" t="s">
        <v>19</v>
      </c>
      <c r="D5" s="83" t="s">
        <v>18</v>
      </c>
      <c r="E5" s="86" t="s">
        <v>19</v>
      </c>
      <c r="F5" s="83" t="s">
        <v>18</v>
      </c>
      <c r="G5" s="86" t="s">
        <v>19</v>
      </c>
      <c r="H5" s="83" t="s">
        <v>18</v>
      </c>
      <c r="I5" s="563" t="s">
        <v>63</v>
      </c>
      <c r="J5" s="83" t="s">
        <v>18</v>
      </c>
      <c r="K5" s="555" t="s">
        <v>63</v>
      </c>
      <c r="L5" s="560"/>
      <c r="M5" s="83" t="s">
        <v>18</v>
      </c>
      <c r="N5" s="555" t="s">
        <v>63</v>
      </c>
      <c r="O5" s="560"/>
      <c r="P5" s="197" t="s">
        <v>18</v>
      </c>
      <c r="Q5" s="555" t="s">
        <v>63</v>
      </c>
      <c r="R5" s="560"/>
      <c r="S5" s="83" t="s">
        <v>18</v>
      </c>
      <c r="T5" s="555" t="s">
        <v>63</v>
      </c>
      <c r="U5" s="560"/>
      <c r="V5" s="83" t="s">
        <v>18</v>
      </c>
      <c r="W5" s="555" t="s">
        <v>63</v>
      </c>
      <c r="X5" s="560"/>
      <c r="Y5" s="83" t="s">
        <v>18</v>
      </c>
      <c r="Z5" s="555" t="s">
        <v>63</v>
      </c>
      <c r="AA5" s="560"/>
    </row>
    <row r="6" spans="1:27">
      <c r="A6" s="77"/>
      <c r="B6" s="84" t="s">
        <v>20</v>
      </c>
      <c r="C6" s="87" t="s">
        <v>34</v>
      </c>
      <c r="D6" s="85" t="s">
        <v>20</v>
      </c>
      <c r="E6" s="87" t="s">
        <v>21</v>
      </c>
      <c r="F6" s="84" t="s">
        <v>20</v>
      </c>
      <c r="G6" s="87" t="s">
        <v>21</v>
      </c>
      <c r="H6" s="85" t="s">
        <v>55</v>
      </c>
      <c r="I6" s="564"/>
      <c r="J6" s="85" t="s">
        <v>55</v>
      </c>
      <c r="K6" s="556"/>
      <c r="L6" s="560"/>
      <c r="M6" s="85" t="s">
        <v>55</v>
      </c>
      <c r="N6" s="556"/>
      <c r="O6" s="560"/>
      <c r="P6" s="198" t="s">
        <v>55</v>
      </c>
      <c r="Q6" s="556"/>
      <c r="R6" s="560"/>
      <c r="S6" s="85" t="s">
        <v>55</v>
      </c>
      <c r="T6" s="556"/>
      <c r="U6" s="560"/>
      <c r="V6" s="85" t="s">
        <v>55</v>
      </c>
      <c r="W6" s="556"/>
      <c r="X6" s="560"/>
      <c r="Y6" s="85" t="s">
        <v>55</v>
      </c>
      <c r="Z6" s="556"/>
      <c r="AA6" s="560"/>
    </row>
    <row r="7" spans="1:27" ht="19.5" customHeight="1" thickBot="1">
      <c r="A7" s="78"/>
      <c r="B7" s="88"/>
      <c r="C7" s="89" t="s">
        <v>16</v>
      </c>
      <c r="D7" s="88"/>
      <c r="E7" s="89" t="s">
        <v>16</v>
      </c>
      <c r="F7" s="88"/>
      <c r="G7" s="89" t="s">
        <v>16</v>
      </c>
      <c r="H7" s="88"/>
      <c r="I7" s="90"/>
      <c r="J7" s="88"/>
      <c r="K7" s="188"/>
      <c r="L7" s="561"/>
      <c r="M7" s="88"/>
      <c r="N7" s="188"/>
      <c r="O7" s="561"/>
      <c r="P7" s="199"/>
      <c r="Q7" s="188"/>
      <c r="R7" s="561"/>
      <c r="S7" s="88"/>
      <c r="T7" s="188"/>
      <c r="U7" s="561"/>
      <c r="V7" s="88"/>
      <c r="W7" s="188"/>
      <c r="X7" s="561"/>
      <c r="Y7" s="88"/>
      <c r="Z7" s="188"/>
      <c r="AA7" s="561"/>
    </row>
    <row r="8" spans="1:27" ht="15" customHeight="1">
      <c r="A8" s="142" t="s">
        <v>23</v>
      </c>
      <c r="B8" s="52">
        <v>14673</v>
      </c>
      <c r="C8" s="98">
        <v>2940510</v>
      </c>
      <c r="D8" s="52">
        <v>14562</v>
      </c>
      <c r="E8" s="139">
        <v>3818295</v>
      </c>
      <c r="F8" s="52">
        <v>14489</v>
      </c>
      <c r="G8" s="98">
        <v>3005355</v>
      </c>
      <c r="H8" s="52">
        <v>12860</v>
      </c>
      <c r="I8" s="139">
        <v>6429356</v>
      </c>
      <c r="J8" s="51">
        <v>14841</v>
      </c>
      <c r="K8" s="192">
        <v>5725662</v>
      </c>
      <c r="L8" s="185">
        <f t="shared" ref="L8:L22" si="0">J8/H8-1</f>
        <v>0.15404354587869373</v>
      </c>
      <c r="M8" s="51">
        <v>20020</v>
      </c>
      <c r="N8" s="290">
        <v>6402802</v>
      </c>
      <c r="O8" s="291">
        <f t="shared" ref="O8:O22" si="1">M8/J8-1</f>
        <v>0.34896570311973596</v>
      </c>
      <c r="P8" s="65">
        <v>20351</v>
      </c>
      <c r="Q8" s="292">
        <v>7694758</v>
      </c>
      <c r="R8" s="291">
        <f t="shared" ref="R8:R22" si="2">P8/M8-1</f>
        <v>1.6533466533466434E-2</v>
      </c>
      <c r="S8" s="51">
        <v>24571</v>
      </c>
      <c r="T8" s="292">
        <v>7876600</v>
      </c>
      <c r="U8" s="291">
        <f t="shared" ref="U8:U22" si="3">S8/P8-1</f>
        <v>0.20736081765023839</v>
      </c>
      <c r="V8" s="55">
        <f>'δικ κατά μήν και κοιν 2013-2014'!W6</f>
        <v>26620</v>
      </c>
      <c r="W8" s="292">
        <v>12806842</v>
      </c>
      <c r="X8" s="291">
        <f t="shared" ref="X8:X18" si="4">V8/S8-1</f>
        <v>8.3390989377721603E-2</v>
      </c>
      <c r="Y8" s="504">
        <f>'δικ κατά μήν και κοιν 2013-2014'!AC6</f>
        <v>25840</v>
      </c>
      <c r="Z8" s="290">
        <v>12217167.890000001</v>
      </c>
      <c r="AA8" s="291">
        <f>Y8/V8-1</f>
        <v>-2.9301277235161516E-2</v>
      </c>
    </row>
    <row r="9" spans="1:27" ht="15" customHeight="1">
      <c r="A9" s="96" t="s">
        <v>24</v>
      </c>
      <c r="B9" s="54">
        <v>14411</v>
      </c>
      <c r="C9" s="94">
        <v>3852153</v>
      </c>
      <c r="D9" s="54">
        <v>14322</v>
      </c>
      <c r="E9" s="79">
        <v>3421812</v>
      </c>
      <c r="F9" s="54">
        <v>13985</v>
      </c>
      <c r="G9" s="94">
        <v>4133238</v>
      </c>
      <c r="H9" s="54">
        <v>12872</v>
      </c>
      <c r="I9" s="79">
        <v>7705397</v>
      </c>
      <c r="J9" s="53">
        <v>15214</v>
      </c>
      <c r="K9" s="193">
        <v>7721727</v>
      </c>
      <c r="L9" s="186">
        <f t="shared" si="0"/>
        <v>0.18194530764449968</v>
      </c>
      <c r="M9" s="53">
        <v>18653</v>
      </c>
      <c r="N9" s="209">
        <v>9341322</v>
      </c>
      <c r="O9" s="255">
        <f t="shared" si="1"/>
        <v>0.22604180360194559</v>
      </c>
      <c r="P9" s="66">
        <v>19835</v>
      </c>
      <c r="Q9" s="293">
        <v>9733588</v>
      </c>
      <c r="R9" s="255">
        <f t="shared" si="2"/>
        <v>6.3367822870315837E-2</v>
      </c>
      <c r="S9" s="55">
        <v>23999</v>
      </c>
      <c r="T9" s="293">
        <v>13293238</v>
      </c>
      <c r="U9" s="255">
        <f t="shared" si="3"/>
        <v>0.20993193849256375</v>
      </c>
      <c r="V9" s="55">
        <f>'δικ κατά μήν και κοιν 2013-2014'!W7</f>
        <v>26029</v>
      </c>
      <c r="W9" s="293">
        <v>13168840</v>
      </c>
      <c r="X9" s="255">
        <f t="shared" si="4"/>
        <v>8.4586857785741154E-2</v>
      </c>
      <c r="Y9" s="504">
        <f>'δικ κατά μήν και κοιν 2013-2014'!AC7</f>
        <v>24521</v>
      </c>
      <c r="Z9" s="209">
        <v>15484118.310000001</v>
      </c>
      <c r="AA9" s="255">
        <f t="shared" ref="AA9:AA14" si="5">Y9/V9-1</f>
        <v>-5.7935379768719542E-2</v>
      </c>
    </row>
    <row r="10" spans="1:27" ht="15" customHeight="1">
      <c r="A10" s="96" t="s">
        <v>25</v>
      </c>
      <c r="B10" s="54">
        <v>13289</v>
      </c>
      <c r="C10" s="94">
        <v>4243776</v>
      </c>
      <c r="D10" s="54">
        <v>13512</v>
      </c>
      <c r="E10" s="79">
        <v>4348349</v>
      </c>
      <c r="F10" s="54">
        <v>12972</v>
      </c>
      <c r="G10" s="94">
        <v>4375808</v>
      </c>
      <c r="H10" s="54">
        <v>12054</v>
      </c>
      <c r="I10" s="140">
        <v>6561430</v>
      </c>
      <c r="J10" s="53">
        <v>15070</v>
      </c>
      <c r="K10" s="194">
        <v>6994997</v>
      </c>
      <c r="L10" s="186">
        <f t="shared" si="0"/>
        <v>0.25020740003318398</v>
      </c>
      <c r="M10" s="53">
        <v>18118</v>
      </c>
      <c r="N10" s="294">
        <v>12306668</v>
      </c>
      <c r="O10" s="255">
        <f t="shared" si="1"/>
        <v>0.20225613802256137</v>
      </c>
      <c r="P10" s="66">
        <v>18795</v>
      </c>
      <c r="Q10" s="295">
        <v>16379537</v>
      </c>
      <c r="R10" s="255">
        <f t="shared" si="2"/>
        <v>3.7366155204768825E-2</v>
      </c>
      <c r="S10" s="55">
        <v>23365</v>
      </c>
      <c r="T10" s="295">
        <v>13221451</v>
      </c>
      <c r="U10" s="255">
        <f t="shared" si="3"/>
        <v>0.24314977387603087</v>
      </c>
      <c r="V10" s="55">
        <f>'δικ κατά μήν και κοιν 2013-2014'!W8</f>
        <v>25463</v>
      </c>
      <c r="W10" s="295">
        <v>8845520</v>
      </c>
      <c r="X10" s="255">
        <f t="shared" si="4"/>
        <v>8.9792424566659479E-2</v>
      </c>
      <c r="Y10" s="504">
        <f>'δικ κατά μήν και κοιν 2013-2014'!AC8</f>
        <v>22746</v>
      </c>
      <c r="Z10" s="294">
        <v>21530313.949999999</v>
      </c>
      <c r="AA10" s="255">
        <f t="shared" si="5"/>
        <v>-0.10670384479440753</v>
      </c>
    </row>
    <row r="11" spans="1:27" ht="15" customHeight="1">
      <c r="A11" s="96" t="s">
        <v>26</v>
      </c>
      <c r="B11" s="54">
        <v>8005</v>
      </c>
      <c r="C11" s="94">
        <v>3585663</v>
      </c>
      <c r="D11" s="54">
        <v>8879</v>
      </c>
      <c r="E11" s="79">
        <v>4502221</v>
      </c>
      <c r="F11" s="54">
        <v>8319</v>
      </c>
      <c r="G11" s="94">
        <v>3911497</v>
      </c>
      <c r="H11" s="54">
        <v>7536</v>
      </c>
      <c r="I11" s="79">
        <v>6895257</v>
      </c>
      <c r="J11" s="53">
        <v>11372</v>
      </c>
      <c r="K11" s="189">
        <v>6955494</v>
      </c>
      <c r="L11" s="186">
        <f t="shared" si="0"/>
        <v>0.50902335456475578</v>
      </c>
      <c r="M11" s="53">
        <v>13085</v>
      </c>
      <c r="N11" s="208">
        <v>8344709</v>
      </c>
      <c r="O11" s="255">
        <f t="shared" si="1"/>
        <v>0.1506331340133662</v>
      </c>
      <c r="P11" s="66">
        <v>14693</v>
      </c>
      <c r="Q11" s="296">
        <v>8299999</v>
      </c>
      <c r="R11" s="255">
        <f t="shared" si="2"/>
        <v>0.12288880397401614</v>
      </c>
      <c r="S11" s="55">
        <v>20574</v>
      </c>
      <c r="T11" s="296">
        <v>16676663</v>
      </c>
      <c r="U11" s="255">
        <f t="shared" si="3"/>
        <v>0.40025862655686373</v>
      </c>
      <c r="V11" s="55">
        <f>'δικ κατά μήν και κοιν 2013-2014'!W9</f>
        <v>22232</v>
      </c>
      <c r="W11" s="296">
        <v>28124828</v>
      </c>
      <c r="X11" s="255">
        <f t="shared" si="4"/>
        <v>8.0587148828618727E-2</v>
      </c>
      <c r="Y11" s="504">
        <f>'δικ κατά μήν και κοιν 2013-2014'!AC9</f>
        <v>16022</v>
      </c>
      <c r="Z11" s="208">
        <v>8958941.1099999994</v>
      </c>
      <c r="AA11" s="255">
        <f t="shared" si="5"/>
        <v>-0.27932709607772577</v>
      </c>
    </row>
    <row r="12" spans="1:27" ht="15" customHeight="1">
      <c r="A12" s="96" t="s">
        <v>27</v>
      </c>
      <c r="B12" s="54">
        <v>7266</v>
      </c>
      <c r="C12" s="94">
        <v>2647918</v>
      </c>
      <c r="D12" s="54">
        <v>7355</v>
      </c>
      <c r="E12" s="79">
        <v>2639504.41</v>
      </c>
      <c r="F12" s="54">
        <v>6149</v>
      </c>
      <c r="G12" s="94">
        <v>3349936</v>
      </c>
      <c r="H12" s="54">
        <v>5808</v>
      </c>
      <c r="I12" s="79">
        <v>4136432</v>
      </c>
      <c r="J12" s="53">
        <v>9699</v>
      </c>
      <c r="K12" s="189">
        <v>9179790</v>
      </c>
      <c r="L12" s="186">
        <f t="shared" si="0"/>
        <v>0.66993801652892571</v>
      </c>
      <c r="M12" s="53">
        <v>10740</v>
      </c>
      <c r="N12" s="208">
        <v>10398300</v>
      </c>
      <c r="O12" s="257">
        <f t="shared" si="1"/>
        <v>0.10733065264460251</v>
      </c>
      <c r="P12" s="66">
        <v>12109</v>
      </c>
      <c r="Q12" s="296">
        <v>8780870</v>
      </c>
      <c r="R12" s="257">
        <f t="shared" si="2"/>
        <v>0.1274674115456238</v>
      </c>
      <c r="S12" s="55">
        <v>15841</v>
      </c>
      <c r="T12" s="296">
        <v>14404648</v>
      </c>
      <c r="U12" s="255">
        <f t="shared" si="3"/>
        <v>0.30820051201585597</v>
      </c>
      <c r="V12" s="55">
        <f>'δικ κατά μήν και κοιν 2013-2014'!W10</f>
        <v>18833</v>
      </c>
      <c r="W12" s="296">
        <v>12962000</v>
      </c>
      <c r="X12" s="255">
        <f t="shared" si="4"/>
        <v>0.18887696483807837</v>
      </c>
      <c r="Y12" s="504">
        <f>'δικ κατά μήν και κοιν 2013-2014'!AC10</f>
        <v>11442</v>
      </c>
      <c r="Z12" s="208">
        <v>15803638.560000001</v>
      </c>
      <c r="AA12" s="255">
        <f t="shared" si="5"/>
        <v>-0.39244942388360859</v>
      </c>
    </row>
    <row r="13" spans="1:27" ht="15" customHeight="1" thickBot="1">
      <c r="A13" s="234" t="s">
        <v>28</v>
      </c>
      <c r="B13" s="37">
        <v>7282</v>
      </c>
      <c r="C13" s="235">
        <v>2036403</v>
      </c>
      <c r="D13" s="37">
        <v>7260</v>
      </c>
      <c r="E13" s="236">
        <v>1734611.23</v>
      </c>
      <c r="F13" s="37">
        <v>6516</v>
      </c>
      <c r="G13" s="235">
        <v>2056713</v>
      </c>
      <c r="H13" s="37">
        <v>5954</v>
      </c>
      <c r="I13" s="236">
        <v>2584829.96</v>
      </c>
      <c r="J13" s="38">
        <v>10145</v>
      </c>
      <c r="K13" s="219">
        <v>4954591</v>
      </c>
      <c r="L13" s="217">
        <f t="shared" si="0"/>
        <v>0.70389654014108172</v>
      </c>
      <c r="M13" s="38">
        <v>11103</v>
      </c>
      <c r="N13" s="213">
        <v>6021837</v>
      </c>
      <c r="O13" s="256">
        <f t="shared" si="1"/>
        <v>9.4430754066042288E-2</v>
      </c>
      <c r="P13" s="67">
        <v>12719</v>
      </c>
      <c r="Q13" s="297">
        <v>6967932</v>
      </c>
      <c r="R13" s="256">
        <f t="shared" si="2"/>
        <v>0.14554624876159594</v>
      </c>
      <c r="S13" s="245">
        <v>15488</v>
      </c>
      <c r="T13" s="297">
        <v>9288140</v>
      </c>
      <c r="U13" s="116">
        <f t="shared" si="3"/>
        <v>0.21770579448069816</v>
      </c>
      <c r="V13" s="511">
        <f>'δικ κατά μήν και κοιν 2013-2014'!W11</f>
        <v>18956</v>
      </c>
      <c r="W13" s="297">
        <v>10602509</v>
      </c>
      <c r="X13" s="116">
        <f t="shared" si="4"/>
        <v>0.22391528925619841</v>
      </c>
      <c r="Y13" s="504">
        <f>'δικ κατά μήν και κοιν 2013-2014'!AC11</f>
        <v>11511</v>
      </c>
      <c r="Z13" s="208">
        <v>6037919.7999999998</v>
      </c>
      <c r="AA13" s="116">
        <f t="shared" si="5"/>
        <v>-0.39275163536611102</v>
      </c>
    </row>
    <row r="14" spans="1:27" ht="57" customHeight="1" thickBot="1">
      <c r="A14" s="136" t="s">
        <v>56</v>
      </c>
      <c r="B14" s="402">
        <f>AVERAGE(B8:B13)</f>
        <v>10821</v>
      </c>
      <c r="C14" s="403">
        <f>SUM(C8:C13)</f>
        <v>19306423</v>
      </c>
      <c r="D14" s="402">
        <f>AVERAGE(D8:D13)</f>
        <v>10981.666666666666</v>
      </c>
      <c r="E14" s="404">
        <f>SUM(E8:E13)</f>
        <v>20464792.640000001</v>
      </c>
      <c r="F14" s="402">
        <f>AVERAGE(F8:F13)</f>
        <v>10405</v>
      </c>
      <c r="G14" s="403">
        <f>SUM(G8:G13)</f>
        <v>20832547</v>
      </c>
      <c r="H14" s="402">
        <f>AVERAGE(H8:H13)</f>
        <v>9514</v>
      </c>
      <c r="I14" s="405">
        <f>SUM(I8:I13)</f>
        <v>34312701.960000001</v>
      </c>
      <c r="J14" s="218">
        <f>AVERAGE(J8:J13)</f>
        <v>12723.5</v>
      </c>
      <c r="K14" s="406">
        <f>SUM(K8:K13)</f>
        <v>41532261</v>
      </c>
      <c r="L14" s="407">
        <f t="shared" si="0"/>
        <v>0.33734496531427371</v>
      </c>
      <c r="M14" s="218">
        <f>AVERAGE(M8:M13)</f>
        <v>15286.5</v>
      </c>
      <c r="N14" s="298">
        <f>SUM(N8:N13)</f>
        <v>52815638</v>
      </c>
      <c r="O14" s="299">
        <f t="shared" si="1"/>
        <v>0.20143828349117765</v>
      </c>
      <c r="P14" s="408">
        <f>AVERAGE(P8:P13)</f>
        <v>16417</v>
      </c>
      <c r="Q14" s="298">
        <f>SUM(Q8:Q13)</f>
        <v>57856684</v>
      </c>
      <c r="R14" s="299">
        <f t="shared" si="2"/>
        <v>7.3954142544074841E-2</v>
      </c>
      <c r="S14" s="218">
        <f>AVERAGE(S8:S13)</f>
        <v>20639.666666666668</v>
      </c>
      <c r="T14" s="298">
        <f>SUM(T8:T13)</f>
        <v>74760740</v>
      </c>
      <c r="U14" s="299">
        <f t="shared" si="3"/>
        <v>0.25721305151164442</v>
      </c>
      <c r="V14" s="218">
        <f>AVERAGE(V8:V13)</f>
        <v>23022.166666666668</v>
      </c>
      <c r="W14" s="298">
        <f>SUM(W8:W13)</f>
        <v>86510539</v>
      </c>
      <c r="X14" s="407">
        <f t="shared" si="4"/>
        <v>0.1154330657794862</v>
      </c>
      <c r="Y14" s="289">
        <f>AVERAGE(Y8:Y13)</f>
        <v>18680.333333333332</v>
      </c>
      <c r="Z14" s="306">
        <f>SUM(Z8:Z13)</f>
        <v>80032099.620000005</v>
      </c>
      <c r="AA14" s="623">
        <f t="shared" si="5"/>
        <v>-0.18859360181853735</v>
      </c>
    </row>
    <row r="15" spans="1:27" ht="15" customHeight="1">
      <c r="A15" s="332" t="s">
        <v>29</v>
      </c>
      <c r="B15" s="52">
        <v>8708</v>
      </c>
      <c r="C15" s="98">
        <v>1031804</v>
      </c>
      <c r="D15" s="52">
        <v>8866</v>
      </c>
      <c r="E15" s="139">
        <v>2106129</v>
      </c>
      <c r="F15" s="52">
        <v>8061</v>
      </c>
      <c r="G15" s="98">
        <v>1502791</v>
      </c>
      <c r="H15" s="52">
        <v>7529</v>
      </c>
      <c r="I15" s="139">
        <v>2428466</v>
      </c>
      <c r="J15" s="51">
        <v>12127</v>
      </c>
      <c r="K15" s="333">
        <v>5106587</v>
      </c>
      <c r="L15" s="185">
        <f t="shared" si="0"/>
        <v>0.61070527294461407</v>
      </c>
      <c r="M15" s="51">
        <v>12749</v>
      </c>
      <c r="N15" s="334">
        <v>3590014</v>
      </c>
      <c r="O15" s="291">
        <f t="shared" si="1"/>
        <v>5.1290508782056543E-2</v>
      </c>
      <c r="P15" s="65">
        <v>14759</v>
      </c>
      <c r="Q15" s="334">
        <v>3742612</v>
      </c>
      <c r="R15" s="291">
        <f t="shared" si="2"/>
        <v>0.15765942426857005</v>
      </c>
      <c r="S15" s="51">
        <v>17559</v>
      </c>
      <c r="T15" s="335">
        <v>7397094</v>
      </c>
      <c r="U15" s="291">
        <f t="shared" si="3"/>
        <v>0.18971475032183749</v>
      </c>
      <c r="V15" s="51">
        <f>'δικ κατά μήν και κοιν 2013-2014'!W13</f>
        <v>20026</v>
      </c>
      <c r="W15" s="335">
        <v>8606327</v>
      </c>
      <c r="X15" s="121">
        <f t="shared" si="4"/>
        <v>0.14049775044136914</v>
      </c>
      <c r="Y15" s="59">
        <f>'δικ κατά μήν και κοιν 2013-2014'!AC13</f>
        <v>12942</v>
      </c>
      <c r="Z15" s="512">
        <v>7529240.8700000001</v>
      </c>
      <c r="AA15" s="513">
        <f>Y15/V15-1</f>
        <v>-0.35374013782083291</v>
      </c>
    </row>
    <row r="16" spans="1:27" ht="15" customHeight="1">
      <c r="A16" s="96" t="s">
        <v>7</v>
      </c>
      <c r="B16" s="54">
        <v>8419</v>
      </c>
      <c r="C16" s="94">
        <v>2904935.01</v>
      </c>
      <c r="D16" s="54">
        <v>8827</v>
      </c>
      <c r="E16" s="79">
        <v>1377861</v>
      </c>
      <c r="F16" s="54">
        <v>7992</v>
      </c>
      <c r="G16" s="94">
        <v>2217876</v>
      </c>
      <c r="H16" s="54">
        <v>7648</v>
      </c>
      <c r="I16" s="79">
        <v>3006346</v>
      </c>
      <c r="J16" s="53">
        <v>12023</v>
      </c>
      <c r="K16" s="189">
        <v>4571245</v>
      </c>
      <c r="L16" s="186">
        <f t="shared" si="0"/>
        <v>0.57204497907949792</v>
      </c>
      <c r="M16" s="53">
        <v>12320</v>
      </c>
      <c r="N16" s="208">
        <v>5135684</v>
      </c>
      <c r="O16" s="255">
        <f t="shared" si="1"/>
        <v>2.470265324794152E-2</v>
      </c>
      <c r="P16" s="75">
        <v>14356</v>
      </c>
      <c r="Q16" s="208">
        <v>5949558</v>
      </c>
      <c r="R16" s="255">
        <f t="shared" si="2"/>
        <v>0.16525974025974022</v>
      </c>
      <c r="S16" s="55">
        <v>16606</v>
      </c>
      <c r="T16" s="296">
        <v>6406861</v>
      </c>
      <c r="U16" s="255">
        <f t="shared" si="3"/>
        <v>0.15672889384229594</v>
      </c>
      <c r="V16" s="55">
        <f>'δικ κατά μήν και κοιν 2013-2014'!W14</f>
        <v>19330</v>
      </c>
      <c r="W16" s="296">
        <v>9095878</v>
      </c>
      <c r="X16" s="345">
        <f t="shared" si="4"/>
        <v>0.16403709502589425</v>
      </c>
      <c r="Y16" s="53">
        <f>'δικ κατά μήν και κοιν 2013-2014'!AC14</f>
        <v>12349</v>
      </c>
      <c r="Z16" s="296">
        <v>4793045.2300000004</v>
      </c>
      <c r="AA16" s="519">
        <f>Y16/V16-1</f>
        <v>-0.36114847387480598</v>
      </c>
    </row>
    <row r="17" spans="1:30" ht="15" customHeight="1">
      <c r="A17" s="96" t="s">
        <v>30</v>
      </c>
      <c r="B17" s="54">
        <v>7846</v>
      </c>
      <c r="C17" s="94">
        <v>2923665.34</v>
      </c>
      <c r="D17" s="54">
        <v>8413</v>
      </c>
      <c r="E17" s="79">
        <v>3020351.79</v>
      </c>
      <c r="F17" s="54">
        <v>7618</v>
      </c>
      <c r="G17" s="94">
        <v>2150669</v>
      </c>
      <c r="H17" s="54">
        <v>6945</v>
      </c>
      <c r="I17" s="79">
        <v>3873569</v>
      </c>
      <c r="J17" s="53">
        <v>11661</v>
      </c>
      <c r="K17" s="189">
        <v>7025665</v>
      </c>
      <c r="L17" s="186">
        <f t="shared" si="0"/>
        <v>0.67904967602591793</v>
      </c>
      <c r="M17" s="53">
        <v>11323</v>
      </c>
      <c r="N17" s="208">
        <v>8542058</v>
      </c>
      <c r="O17" s="255">
        <f t="shared" si="1"/>
        <v>-2.8985507246376829E-2</v>
      </c>
      <c r="P17" s="75">
        <v>13780</v>
      </c>
      <c r="Q17" s="208">
        <v>8229483</v>
      </c>
      <c r="R17" s="257">
        <f t="shared" si="2"/>
        <v>0.21699196326061987</v>
      </c>
      <c r="S17" s="55">
        <v>16394</v>
      </c>
      <c r="T17" s="296">
        <v>11517137</v>
      </c>
      <c r="U17" s="255">
        <f t="shared" si="3"/>
        <v>0.18969521044992743</v>
      </c>
      <c r="V17" s="55">
        <f>'δικ κατά μήν και κοιν 2013-2014'!W15</f>
        <v>19612</v>
      </c>
      <c r="W17" s="346">
        <v>9533807</v>
      </c>
      <c r="X17" s="345">
        <f t="shared" si="4"/>
        <v>0.19629132609491284</v>
      </c>
      <c r="Y17" s="53">
        <f>'δικ κατά μήν και κοιν 2013-2014'!AC15</f>
        <v>12268</v>
      </c>
      <c r="Z17" s="346">
        <v>8105076.2800000003</v>
      </c>
      <c r="AA17" s="519">
        <f>Y17/V17-1</f>
        <v>-0.3744646135019376</v>
      </c>
    </row>
    <row r="18" spans="1:30" ht="15" customHeight="1">
      <c r="A18" s="96" t="s">
        <v>31</v>
      </c>
      <c r="B18" s="54">
        <v>6917</v>
      </c>
      <c r="C18" s="94">
        <v>1827238</v>
      </c>
      <c r="D18" s="54">
        <v>6743</v>
      </c>
      <c r="E18" s="79">
        <v>2304286</v>
      </c>
      <c r="F18" s="54">
        <v>5798</v>
      </c>
      <c r="G18" s="94">
        <v>2070347</v>
      </c>
      <c r="H18" s="54">
        <v>5771</v>
      </c>
      <c r="I18" s="79">
        <v>3454842</v>
      </c>
      <c r="J18" s="53">
        <v>10381</v>
      </c>
      <c r="K18" s="189">
        <v>5069350</v>
      </c>
      <c r="L18" s="186">
        <f t="shared" si="0"/>
        <v>0.79882169468029796</v>
      </c>
      <c r="M18" s="53">
        <v>9802</v>
      </c>
      <c r="N18" s="208">
        <v>4385709</v>
      </c>
      <c r="O18" s="255">
        <f t="shared" si="1"/>
        <v>-5.5774973509295833E-2</v>
      </c>
      <c r="P18" s="75">
        <v>12259</v>
      </c>
      <c r="Q18" s="208">
        <v>7387566</v>
      </c>
      <c r="R18" s="257">
        <f t="shared" si="2"/>
        <v>0.25066312997347473</v>
      </c>
      <c r="S18" s="55">
        <v>14368</v>
      </c>
      <c r="T18" s="296">
        <v>9890312</v>
      </c>
      <c r="U18" s="255">
        <f t="shared" si="3"/>
        <v>0.172036870870381</v>
      </c>
      <c r="V18" s="55">
        <f>'δικ κατά μήν και κοιν 2013-2014'!W16</f>
        <v>16726</v>
      </c>
      <c r="W18" s="346">
        <v>13392733.119999999</v>
      </c>
      <c r="X18" s="345">
        <f t="shared" si="4"/>
        <v>0.16411469933184852</v>
      </c>
      <c r="Y18" s="53">
        <f>'δικ κατά μήν και κοιν 2013-2014'!AC16</f>
        <v>10019</v>
      </c>
      <c r="Z18" s="346">
        <v>6274512.7000000002</v>
      </c>
      <c r="AA18" s="519">
        <f>Y18/V18-1</f>
        <v>-0.4009924668181275</v>
      </c>
    </row>
    <row r="19" spans="1:30" ht="15" customHeight="1">
      <c r="A19" s="96" t="s">
        <v>32</v>
      </c>
      <c r="B19" s="54">
        <v>10002</v>
      </c>
      <c r="C19" s="94">
        <v>1990787</v>
      </c>
      <c r="D19" s="54">
        <v>10026</v>
      </c>
      <c r="E19" s="79">
        <v>2463829</v>
      </c>
      <c r="F19" s="54">
        <v>8930</v>
      </c>
      <c r="G19" s="94">
        <v>1916507</v>
      </c>
      <c r="H19" s="54">
        <v>9212</v>
      </c>
      <c r="I19" s="79">
        <v>2912126</v>
      </c>
      <c r="J19" s="53">
        <v>14716</v>
      </c>
      <c r="K19" s="189">
        <v>7174890</v>
      </c>
      <c r="L19" s="186">
        <f t="shared" si="0"/>
        <v>0.59748154580981327</v>
      </c>
      <c r="M19" s="53">
        <v>13996</v>
      </c>
      <c r="N19" s="208">
        <v>6514316</v>
      </c>
      <c r="O19" s="255">
        <f t="shared" si="1"/>
        <v>-4.8926338678988879E-2</v>
      </c>
      <c r="P19" s="75">
        <v>17523</v>
      </c>
      <c r="Q19" s="208">
        <v>8227126</v>
      </c>
      <c r="R19" s="257">
        <f t="shared" si="2"/>
        <v>0.25200057159188338</v>
      </c>
      <c r="S19" s="55">
        <v>19761</v>
      </c>
      <c r="T19" s="296">
        <v>7834516</v>
      </c>
      <c r="U19" s="255">
        <f t="shared" si="3"/>
        <v>0.12771785653141587</v>
      </c>
      <c r="V19" s="55">
        <f>'δικ κατά μήν και κοιν 2013-2014'!W17</f>
        <v>21240</v>
      </c>
      <c r="W19" s="346">
        <v>14301504</v>
      </c>
      <c r="X19" s="345">
        <f>V19/S19-1</f>
        <v>7.484439046606961E-2</v>
      </c>
      <c r="Y19" s="53">
        <f>'δικ κατά μήν και κοιν 2013-2014'!AC17</f>
        <v>17212</v>
      </c>
      <c r="Z19" s="518">
        <v>4760848.29</v>
      </c>
      <c r="AA19" s="519">
        <f>Y19/V19-1</f>
        <v>-0.18964218455743875</v>
      </c>
    </row>
    <row r="20" spans="1:30" ht="15" customHeight="1" thickBot="1">
      <c r="A20" s="143" t="s">
        <v>33</v>
      </c>
      <c r="B20" s="58">
        <v>13093</v>
      </c>
      <c r="C20" s="145">
        <v>1935627</v>
      </c>
      <c r="D20" s="58">
        <v>12931</v>
      </c>
      <c r="E20" s="144">
        <v>1815997</v>
      </c>
      <c r="F20" s="58">
        <v>12041</v>
      </c>
      <c r="G20" s="145">
        <v>1472275</v>
      </c>
      <c r="H20" s="58">
        <v>12724</v>
      </c>
      <c r="I20" s="144">
        <v>3423575</v>
      </c>
      <c r="J20" s="57">
        <v>18370</v>
      </c>
      <c r="K20" s="190">
        <v>7432835</v>
      </c>
      <c r="L20" s="187">
        <f t="shared" si="0"/>
        <v>0.44372838729959141</v>
      </c>
      <c r="M20" s="57">
        <v>18115</v>
      </c>
      <c r="N20" s="300">
        <v>4825777</v>
      </c>
      <c r="O20" s="73">
        <f t="shared" si="1"/>
        <v>-1.3881328252585701E-2</v>
      </c>
      <c r="P20" s="336">
        <v>22051</v>
      </c>
      <c r="Q20" s="300">
        <v>6997865</v>
      </c>
      <c r="R20" s="337">
        <f t="shared" si="2"/>
        <v>0.21727849848192116</v>
      </c>
      <c r="S20" s="344">
        <v>24195</v>
      </c>
      <c r="T20" s="300">
        <v>6661968</v>
      </c>
      <c r="U20" s="73">
        <f t="shared" si="3"/>
        <v>9.7229150605414816E-2</v>
      </c>
      <c r="V20" s="55">
        <f>'δικ κατά μήν και κοιν 2013-2014'!W18</f>
        <v>24855</v>
      </c>
      <c r="W20" s="347">
        <v>8462540.4199999999</v>
      </c>
      <c r="X20" s="345">
        <f>V20/S20-1</f>
        <v>2.7278363298202102E-2</v>
      </c>
      <c r="Y20" s="53" t="s">
        <v>147</v>
      </c>
      <c r="Z20" s="347">
        <v>5118992.74</v>
      </c>
      <c r="AA20" s="53" t="s">
        <v>147</v>
      </c>
    </row>
    <row r="21" spans="1:30" ht="57.75" customHeight="1" thickBot="1">
      <c r="A21" s="146" t="s">
        <v>57</v>
      </c>
      <c r="B21" s="154">
        <f>AVERAGE(B15:B20)</f>
        <v>9164.1666666666661</v>
      </c>
      <c r="C21" s="149">
        <f>SUM(C15:C20)</f>
        <v>12614056.35</v>
      </c>
      <c r="D21" s="148">
        <f>AVERAGE(D15:D20)</f>
        <v>9301</v>
      </c>
      <c r="E21" s="147">
        <f>SUM(E15:E20)</f>
        <v>13088453.789999999</v>
      </c>
      <c r="F21" s="154">
        <f>AVERAGE(F15:F20)</f>
        <v>8406.6666666666661</v>
      </c>
      <c r="G21" s="149">
        <f>SUM(G15:G20)</f>
        <v>11330465</v>
      </c>
      <c r="H21" s="153">
        <f>AVERAGE(H15:H20)</f>
        <v>8304.8333333333339</v>
      </c>
      <c r="I21" s="150">
        <f>SUM(I15:I20)</f>
        <v>19098924</v>
      </c>
      <c r="J21" s="153">
        <f>AVERAGE(J15:J20)</f>
        <v>13213</v>
      </c>
      <c r="K21" s="191">
        <f>SUM(K15:K20)</f>
        <v>36380572</v>
      </c>
      <c r="L21" s="152">
        <f t="shared" si="0"/>
        <v>0.59100122418671841</v>
      </c>
      <c r="M21" s="195">
        <f>AVERAGE(M15:M20)</f>
        <v>13050.833333333334</v>
      </c>
      <c r="N21" s="301">
        <f>SUM(N15:N20)</f>
        <v>32993558</v>
      </c>
      <c r="O21" s="302">
        <f t="shared" si="1"/>
        <v>-1.2273266227704971E-2</v>
      </c>
      <c r="P21" s="218">
        <f>AVERAGE(P15:P20)</f>
        <v>15788</v>
      </c>
      <c r="Q21" s="298">
        <f>SUM(Q15:Q20)</f>
        <v>40534210</v>
      </c>
      <c r="R21" s="303">
        <f t="shared" si="2"/>
        <v>0.2097311793627481</v>
      </c>
      <c r="S21" s="218">
        <f>AVERAGE(S15:S20)</f>
        <v>18147.166666666668</v>
      </c>
      <c r="T21" s="298">
        <f>SUM(T15:T20)</f>
        <v>49707888</v>
      </c>
      <c r="U21" s="303">
        <f t="shared" si="3"/>
        <v>0.14942783548686767</v>
      </c>
      <c r="V21" s="218">
        <f>AVERAGE(V15:V18)</f>
        <v>18923.5</v>
      </c>
      <c r="W21" s="298">
        <f>SUM(W15:W20)</f>
        <v>63392789.539999999</v>
      </c>
      <c r="X21" s="299">
        <f>V21/S21-1</f>
        <v>4.2779864625331676E-2</v>
      </c>
      <c r="Y21" s="218"/>
      <c r="Z21" s="298">
        <f>SUM(Z15:Z20)</f>
        <v>36581716.109999999</v>
      </c>
      <c r="AA21" s="299"/>
    </row>
    <row r="22" spans="1:30" ht="46.5" customHeight="1" thickBot="1">
      <c r="A22" s="136" t="s">
        <v>58</v>
      </c>
      <c r="B22" s="111">
        <f>AVERAGE(B14,B21)</f>
        <v>9992.5833333333321</v>
      </c>
      <c r="C22" s="95">
        <f>SUM(C14,C21)</f>
        <v>31920479.350000001</v>
      </c>
      <c r="D22" s="111">
        <f>AVERAGE(D14,D21)</f>
        <v>10141.333333333332</v>
      </c>
      <c r="E22" s="80">
        <f>SUM(E14,E21)</f>
        <v>33553246.43</v>
      </c>
      <c r="F22" s="111">
        <f>AVERAGE(F14,F21)</f>
        <v>9405.8333333333321</v>
      </c>
      <c r="G22" s="95">
        <f>SUM(G14,G21)</f>
        <v>32163012</v>
      </c>
      <c r="H22" s="158">
        <f>AVERAGE(H8:H13,H15:H20)</f>
        <v>8909.4166666666661</v>
      </c>
      <c r="I22" s="160">
        <f>SUM(I14,I21)</f>
        <v>53411625.960000001</v>
      </c>
      <c r="J22" s="158">
        <f>AVERAGE(J8:J13,J15:J20)</f>
        <v>12968.25</v>
      </c>
      <c r="K22" s="196">
        <f>SUM(K14,K21)</f>
        <v>77912833</v>
      </c>
      <c r="L22" s="200">
        <f t="shared" si="0"/>
        <v>0.45556667570828635</v>
      </c>
      <c r="M22" s="202">
        <f>AVERAGE(M8:M13,M15:M20)</f>
        <v>14168.666666666666</v>
      </c>
      <c r="N22" s="304">
        <f>SUM(N14,N21)</f>
        <v>85809196</v>
      </c>
      <c r="O22" s="305">
        <f t="shared" si="1"/>
        <v>9.2565817798597738E-2</v>
      </c>
      <c r="P22" s="218">
        <f>AVERAGE(P8:P13,P15:P20)</f>
        <v>16102.5</v>
      </c>
      <c r="Q22" s="306">
        <f>SUM(Q14,Q21)</f>
        <v>98390894</v>
      </c>
      <c r="R22" s="303">
        <f t="shared" si="2"/>
        <v>0.13648661365454284</v>
      </c>
      <c r="S22" s="218">
        <f>AVERAGE(S8:S13,S15:S20)</f>
        <v>19393.416666666668</v>
      </c>
      <c r="T22" s="298">
        <f>SUM(T14,T21)</f>
        <v>124468628</v>
      </c>
      <c r="U22" s="303">
        <f t="shared" si="3"/>
        <v>0.20437302696268711</v>
      </c>
      <c r="V22" s="307">
        <f>AVERAGE(V8:V13,V15:V20)</f>
        <v>21660.166666666668</v>
      </c>
      <c r="W22" s="298">
        <f>SUM(W14,W21)</f>
        <v>149903328.53999999</v>
      </c>
      <c r="X22" s="303">
        <f>V22/S22-1</f>
        <v>0.11688244722221031</v>
      </c>
      <c r="Y22" s="307"/>
      <c r="Z22" s="298">
        <f>SUM(Z14,Z21)</f>
        <v>116613815.73</v>
      </c>
      <c r="AA22" s="303"/>
    </row>
    <row r="23" spans="1:30" ht="18" customHeight="1" thickBot="1">
      <c r="A23" s="155" t="s">
        <v>62</v>
      </c>
      <c r="B23" s="232"/>
      <c r="C23" s="232"/>
      <c r="D23" s="232"/>
      <c r="E23" s="232"/>
      <c r="F23" s="232"/>
      <c r="G23" s="331">
        <v>54812341</v>
      </c>
      <c r="H23" s="156"/>
      <c r="I23" s="157">
        <v>54291437</v>
      </c>
      <c r="J23" s="156"/>
      <c r="K23" s="162">
        <v>77869786</v>
      </c>
      <c r="L23" s="201"/>
      <c r="M23" s="308"/>
      <c r="N23" s="309">
        <v>85809195</v>
      </c>
      <c r="O23" s="310"/>
      <c r="P23" s="311"/>
      <c r="Q23" s="312">
        <v>98390894</v>
      </c>
      <c r="R23" s="313"/>
      <c r="S23" s="311"/>
      <c r="T23" s="312">
        <v>124468629</v>
      </c>
      <c r="U23" s="313"/>
      <c r="V23" s="311"/>
      <c r="W23" s="520">
        <v>150239188</v>
      </c>
      <c r="X23" s="313"/>
      <c r="Y23" s="311"/>
      <c r="Z23" s="520">
        <v>117046967.5</v>
      </c>
      <c r="AA23" s="313"/>
    </row>
    <row r="24" spans="1:30" ht="10.5" customHeight="1">
      <c r="A24" s="164"/>
      <c r="B24" s="165"/>
      <c r="C24" s="165"/>
      <c r="D24" s="165"/>
      <c r="E24" s="165"/>
      <c r="F24" s="165"/>
      <c r="G24" s="165"/>
      <c r="H24" s="159"/>
      <c r="I24" s="166"/>
      <c r="J24" s="159"/>
      <c r="K24" s="161"/>
      <c r="L24" s="112"/>
      <c r="M24" s="112"/>
      <c r="N24" s="163"/>
      <c r="O24" s="26"/>
      <c r="P24" s="26"/>
      <c r="Q24" s="167"/>
    </row>
    <row r="25" spans="1:30">
      <c r="A25" s="554" t="s">
        <v>60</v>
      </c>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row>
    <row r="26" spans="1:30" ht="12" customHeight="1">
      <c r="A26" s="565" t="s">
        <v>61</v>
      </c>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row>
    <row r="27" spans="1:30" ht="12.75" customHeight="1">
      <c r="A27" s="566" t="s">
        <v>59</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row>
    <row r="28" spans="1:30" ht="28.5" customHeight="1">
      <c r="A28" s="552" t="s">
        <v>150</v>
      </c>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row>
    <row r="29" spans="1:30">
      <c r="A29" s="82"/>
      <c r="B29" s="81"/>
      <c r="C29" s="81"/>
      <c r="D29" s="81"/>
      <c r="E29" s="81"/>
      <c r="F29" s="540"/>
      <c r="G29" s="540"/>
      <c r="H29" s="103"/>
      <c r="N29" s="100"/>
      <c r="O29" s="100"/>
      <c r="P29" s="100"/>
    </row>
    <row r="30" spans="1:30">
      <c r="A30" s="101" t="s">
        <v>126</v>
      </c>
      <c r="B30" s="101"/>
      <c r="C30" s="101"/>
      <c r="D30" s="101"/>
      <c r="E30" s="101"/>
      <c r="F30" s="100"/>
      <c r="G30" s="100"/>
      <c r="H30" s="102"/>
      <c r="I30" s="81"/>
      <c r="J30" s="82"/>
      <c r="K30" s="100"/>
      <c r="L30" s="100"/>
      <c r="M30" s="100"/>
      <c r="N30" s="100"/>
      <c r="O30" s="137"/>
      <c r="P30" s="100"/>
      <c r="Q30" s="81"/>
      <c r="R30" s="81"/>
      <c r="S30" s="81"/>
      <c r="T30" s="81"/>
      <c r="U30" s="100"/>
      <c r="V30" s="482"/>
      <c r="W30" s="81"/>
      <c r="X30" s="81"/>
      <c r="Y30" s="81"/>
      <c r="Z30" s="100" t="s">
        <v>15</v>
      </c>
      <c r="AA30" s="81"/>
      <c r="AB30" s="81"/>
      <c r="AC30" s="365"/>
      <c r="AD30" s="81"/>
    </row>
    <row r="31" spans="1:30">
      <c r="A31" s="82">
        <f>'δικ κατά μήν και κοιν 2013-2014'!A28</f>
        <v>42054</v>
      </c>
      <c r="B31" s="81"/>
      <c r="C31" s="81"/>
      <c r="D31" s="81"/>
      <c r="E31" s="81"/>
      <c r="F31" s="540"/>
      <c r="G31" s="540"/>
      <c r="H31" s="103"/>
      <c r="I31" s="81"/>
      <c r="J31" s="81"/>
      <c r="K31" s="81"/>
      <c r="L31" s="81"/>
      <c r="M31" s="81"/>
      <c r="N31" s="100"/>
      <c r="O31" s="100"/>
      <c r="P31" s="100"/>
      <c r="Q31" s="81"/>
      <c r="R31" s="81"/>
      <c r="S31" s="81"/>
      <c r="T31" s="81"/>
      <c r="U31" s="100"/>
      <c r="V31" s="482"/>
      <c r="W31" s="81"/>
      <c r="X31" s="81"/>
      <c r="Y31" s="81"/>
      <c r="Z31" s="100" t="s">
        <v>14</v>
      </c>
      <c r="AA31" s="81"/>
      <c r="AB31" s="81"/>
      <c r="AC31" s="365"/>
      <c r="AD31" s="81"/>
    </row>
    <row r="32" spans="1:30">
      <c r="A32" s="82"/>
      <c r="B32" s="81"/>
      <c r="C32" s="81"/>
      <c r="D32" s="81"/>
      <c r="E32" s="81"/>
      <c r="F32" s="540"/>
      <c r="G32" s="540"/>
      <c r="H32" s="103"/>
      <c r="I32" s="81"/>
      <c r="J32" s="81"/>
      <c r="K32" s="81"/>
      <c r="L32" s="81"/>
      <c r="M32" s="81"/>
      <c r="N32" s="100"/>
      <c r="O32" s="100"/>
      <c r="P32" s="100"/>
      <c r="Q32" s="81"/>
      <c r="R32" s="81"/>
      <c r="S32" s="81"/>
      <c r="T32" s="81"/>
      <c r="U32" s="81"/>
      <c r="V32" s="81"/>
      <c r="W32" s="81"/>
      <c r="X32" s="81"/>
      <c r="Y32" s="81"/>
      <c r="Z32" s="81"/>
      <c r="AA32" s="81"/>
    </row>
    <row r="36" spans="1:1">
      <c r="A36" s="39"/>
    </row>
  </sheetData>
  <mergeCells count="31">
    <mergeCell ref="A26:AA26"/>
    <mergeCell ref="A27:AA27"/>
    <mergeCell ref="F4:G4"/>
    <mergeCell ref="S4:T4"/>
    <mergeCell ref="K5:K6"/>
    <mergeCell ref="N5:N6"/>
    <mergeCell ref="P4:Q4"/>
    <mergeCell ref="T5:T6"/>
    <mergeCell ref="R4:R7"/>
    <mergeCell ref="H4:I4"/>
    <mergeCell ref="V4:W4"/>
    <mergeCell ref="X4:X7"/>
    <mergeCell ref="W5:W6"/>
    <mergeCell ref="O4:O7"/>
    <mergeCell ref="U4:U7"/>
    <mergeCell ref="A28:AA28"/>
    <mergeCell ref="A2:AA2"/>
    <mergeCell ref="A25:AA25"/>
    <mergeCell ref="F32:G32"/>
    <mergeCell ref="Q5:Q6"/>
    <mergeCell ref="F29:G29"/>
    <mergeCell ref="F31:G31"/>
    <mergeCell ref="Y4:Z4"/>
    <mergeCell ref="AA4:AA7"/>
    <mergeCell ref="Z5:Z6"/>
    <mergeCell ref="B4:C4"/>
    <mergeCell ref="D4:E4"/>
    <mergeCell ref="M4:N4"/>
    <mergeCell ref="J4:K4"/>
    <mergeCell ref="I5:I6"/>
    <mergeCell ref="L4:L7"/>
  </mergeCells>
  <phoneticPr fontId="0" type="noConversion"/>
  <pageMargins left="0" right="0" top="0" bottom="0"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33"/>
  <sheetViews>
    <sheetView workbookViewId="0">
      <selection activeCell="B13" sqref="B13"/>
    </sheetView>
  </sheetViews>
  <sheetFormatPr defaultRowHeight="12.75"/>
  <cols>
    <col min="1" max="1" width="5.5703125" customWidth="1"/>
    <col min="2" max="2" width="58" customWidth="1"/>
    <col min="3" max="7" width="12.7109375" customWidth="1"/>
    <col min="8" max="8" width="11" customWidth="1"/>
  </cols>
  <sheetData>
    <row r="1" spans="1:8" ht="19.5" customHeight="1">
      <c r="A1" s="426" t="s">
        <v>114</v>
      </c>
      <c r="B1" s="329"/>
    </row>
    <row r="2" spans="1:8" ht="28.5" customHeight="1">
      <c r="A2" s="569" t="s">
        <v>132</v>
      </c>
      <c r="B2" s="569"/>
      <c r="C2" s="569"/>
      <c r="D2" s="569"/>
      <c r="E2" s="569"/>
      <c r="F2" s="569"/>
      <c r="G2" s="569"/>
      <c r="H2" s="569"/>
    </row>
    <row r="3" spans="1:8" ht="6" customHeight="1" thickBot="1">
      <c r="A3" s="568"/>
      <c r="B3" s="568"/>
      <c r="C3" s="568"/>
    </row>
    <row r="4" spans="1:8" ht="15.75" customHeight="1">
      <c r="A4" s="269"/>
      <c r="B4" s="440"/>
      <c r="C4" s="572" t="s">
        <v>66</v>
      </c>
      <c r="D4" s="572"/>
      <c r="E4" s="572"/>
      <c r="F4" s="572"/>
      <c r="G4" s="572"/>
      <c r="H4" s="573"/>
    </row>
    <row r="5" spans="1:8" ht="17.25" customHeight="1">
      <c r="A5" s="270" t="s">
        <v>67</v>
      </c>
      <c r="B5" s="441" t="s">
        <v>68</v>
      </c>
      <c r="C5" s="575" t="s">
        <v>69</v>
      </c>
      <c r="D5" s="576"/>
      <c r="E5" s="577" t="s">
        <v>70</v>
      </c>
      <c r="F5" s="578"/>
      <c r="G5" s="579" t="s">
        <v>6</v>
      </c>
      <c r="H5" s="570" t="s">
        <v>123</v>
      </c>
    </row>
    <row r="6" spans="1:8" ht="24.75" thickBot="1">
      <c r="A6" s="432"/>
      <c r="B6" s="442"/>
      <c r="C6" s="430" t="s">
        <v>71</v>
      </c>
      <c r="D6" s="431" t="s">
        <v>72</v>
      </c>
      <c r="E6" s="431" t="s">
        <v>72</v>
      </c>
      <c r="F6" s="350" t="s">
        <v>73</v>
      </c>
      <c r="G6" s="580"/>
      <c r="H6" s="571"/>
    </row>
    <row r="7" spans="1:8" ht="15" customHeight="1">
      <c r="A7" s="433">
        <v>1</v>
      </c>
      <c r="B7" s="443" t="s">
        <v>74</v>
      </c>
      <c r="C7" s="434">
        <v>0</v>
      </c>
      <c r="D7" s="268">
        <v>1</v>
      </c>
      <c r="E7" s="294">
        <v>0</v>
      </c>
      <c r="F7" s="294">
        <v>136</v>
      </c>
      <c r="G7" s="210">
        <f>C7+D7+E7+F7</f>
        <v>137</v>
      </c>
      <c r="H7" s="429">
        <f>G7/G30</f>
        <v>3.5739441212532283E-3</v>
      </c>
    </row>
    <row r="8" spans="1:8" ht="15" customHeight="1">
      <c r="A8" s="271">
        <v>2</v>
      </c>
      <c r="B8" s="444" t="s">
        <v>75</v>
      </c>
      <c r="C8" s="435">
        <v>0</v>
      </c>
      <c r="D8" s="208">
        <v>0</v>
      </c>
      <c r="E8" s="209">
        <v>0</v>
      </c>
      <c r="F8" s="209">
        <v>60</v>
      </c>
      <c r="G8" s="210">
        <f t="shared" ref="G8:G29" si="0">C8+D8+E8+F8</f>
        <v>60</v>
      </c>
      <c r="H8" s="428">
        <f>G8/G30</f>
        <v>1.5652310020087131E-3</v>
      </c>
    </row>
    <row r="9" spans="1:8" ht="15" customHeight="1">
      <c r="A9" s="271">
        <v>3</v>
      </c>
      <c r="B9" s="444" t="s">
        <v>76</v>
      </c>
      <c r="C9" s="435">
        <v>61</v>
      </c>
      <c r="D9" s="208">
        <v>0</v>
      </c>
      <c r="E9" s="209">
        <v>1</v>
      </c>
      <c r="F9" s="209">
        <f>2794+1</f>
        <v>2795</v>
      </c>
      <c r="G9" s="210">
        <f t="shared" si="0"/>
        <v>2857</v>
      </c>
      <c r="H9" s="428">
        <f>G9/G30</f>
        <v>7.4531082878981553E-2</v>
      </c>
    </row>
    <row r="10" spans="1:8" ht="15" customHeight="1">
      <c r="A10" s="271">
        <v>4</v>
      </c>
      <c r="B10" s="444" t="s">
        <v>77</v>
      </c>
      <c r="C10" s="436">
        <v>0</v>
      </c>
      <c r="D10" s="211">
        <v>0</v>
      </c>
      <c r="E10" s="212">
        <v>0</v>
      </c>
      <c r="F10" s="193">
        <v>51</v>
      </c>
      <c r="G10" s="210">
        <f t="shared" si="0"/>
        <v>51</v>
      </c>
      <c r="H10" s="428">
        <f>G10/G30</f>
        <v>1.3304463517074061E-3</v>
      </c>
    </row>
    <row r="11" spans="1:8" ht="26.25" customHeight="1">
      <c r="A11" s="271">
        <v>5</v>
      </c>
      <c r="B11" s="444" t="s">
        <v>78</v>
      </c>
      <c r="C11" s="435">
        <v>0</v>
      </c>
      <c r="D11" s="208">
        <v>0</v>
      </c>
      <c r="E11" s="209">
        <v>0</v>
      </c>
      <c r="F11" s="209">
        <v>17</v>
      </c>
      <c r="G11" s="210">
        <f t="shared" si="0"/>
        <v>17</v>
      </c>
      <c r="H11" s="428">
        <f>G11/G30</f>
        <v>4.4348211723580205E-4</v>
      </c>
    </row>
    <row r="12" spans="1:8" ht="15.75" customHeight="1">
      <c r="A12" s="271">
        <v>6</v>
      </c>
      <c r="B12" s="444" t="s">
        <v>79</v>
      </c>
      <c r="C12" s="436">
        <v>0</v>
      </c>
      <c r="D12" s="189">
        <v>4</v>
      </c>
      <c r="E12" s="193">
        <v>19</v>
      </c>
      <c r="F12" s="193">
        <f>4034+1</f>
        <v>4035</v>
      </c>
      <c r="G12" s="210">
        <f t="shared" si="0"/>
        <v>4058</v>
      </c>
      <c r="H12" s="428">
        <f>G12/G30</f>
        <v>0.10586179010252263</v>
      </c>
    </row>
    <row r="13" spans="1:8" ht="27.75" customHeight="1">
      <c r="A13" s="271">
        <v>7</v>
      </c>
      <c r="B13" s="444" t="s">
        <v>80</v>
      </c>
      <c r="C13" s="436">
        <v>0</v>
      </c>
      <c r="D13" s="189">
        <v>251</v>
      </c>
      <c r="E13" s="193">
        <v>30</v>
      </c>
      <c r="F13" s="193">
        <v>5226</v>
      </c>
      <c r="G13" s="210">
        <f t="shared" si="0"/>
        <v>5507</v>
      </c>
      <c r="H13" s="428">
        <f>G13/G30</f>
        <v>0.14366211880103305</v>
      </c>
    </row>
    <row r="14" spans="1:8" ht="15" customHeight="1">
      <c r="A14" s="271">
        <v>8</v>
      </c>
      <c r="B14" s="444" t="s">
        <v>81</v>
      </c>
      <c r="C14" s="436">
        <v>0</v>
      </c>
      <c r="D14" s="189">
        <v>50</v>
      </c>
      <c r="E14" s="189">
        <v>3</v>
      </c>
      <c r="F14" s="193">
        <f>1359+1</f>
        <v>1360</v>
      </c>
      <c r="G14" s="210">
        <f t="shared" si="0"/>
        <v>1413</v>
      </c>
      <c r="H14" s="428">
        <f>G14/G30</f>
        <v>3.6861190097305194E-2</v>
      </c>
    </row>
    <row r="15" spans="1:8" ht="15" customHeight="1">
      <c r="A15" s="271">
        <v>9</v>
      </c>
      <c r="B15" s="444" t="s">
        <v>82</v>
      </c>
      <c r="C15" s="435">
        <v>0</v>
      </c>
      <c r="D15" s="208">
        <v>4801</v>
      </c>
      <c r="E15" s="209">
        <v>4321</v>
      </c>
      <c r="F15" s="209">
        <f>3106+2</f>
        <v>3108</v>
      </c>
      <c r="G15" s="210">
        <f t="shared" si="0"/>
        <v>12230</v>
      </c>
      <c r="H15" s="428">
        <f>G15/G30</f>
        <v>0.31904625257610936</v>
      </c>
    </row>
    <row r="16" spans="1:8" ht="15" customHeight="1">
      <c r="A16" s="271">
        <v>10</v>
      </c>
      <c r="B16" s="444" t="s">
        <v>83</v>
      </c>
      <c r="C16" s="435">
        <v>0</v>
      </c>
      <c r="D16" s="208">
        <v>1</v>
      </c>
      <c r="E16" s="209">
        <v>1</v>
      </c>
      <c r="F16" s="209">
        <v>419</v>
      </c>
      <c r="G16" s="210">
        <f t="shared" si="0"/>
        <v>421</v>
      </c>
      <c r="H16" s="428">
        <f>G16/G30</f>
        <v>1.0982704197427804E-2</v>
      </c>
    </row>
    <row r="17" spans="1:8" ht="15" customHeight="1">
      <c r="A17" s="271">
        <v>11</v>
      </c>
      <c r="B17" s="444" t="s">
        <v>84</v>
      </c>
      <c r="C17" s="435">
        <v>0</v>
      </c>
      <c r="D17" s="208">
        <v>1</v>
      </c>
      <c r="E17" s="209">
        <v>0</v>
      </c>
      <c r="F17" s="193">
        <v>1983</v>
      </c>
      <c r="G17" s="210">
        <f t="shared" si="0"/>
        <v>1984</v>
      </c>
      <c r="H17" s="428">
        <f>G17/G30</f>
        <v>5.1756971799754782E-2</v>
      </c>
    </row>
    <row r="18" spans="1:8" ht="15" customHeight="1">
      <c r="A18" s="271">
        <v>12</v>
      </c>
      <c r="B18" s="444" t="s">
        <v>85</v>
      </c>
      <c r="C18" s="435">
        <v>0</v>
      </c>
      <c r="D18" s="208">
        <v>14</v>
      </c>
      <c r="E18" s="209">
        <v>10</v>
      </c>
      <c r="F18" s="209">
        <v>194</v>
      </c>
      <c r="G18" s="210">
        <f t="shared" si="0"/>
        <v>218</v>
      </c>
      <c r="H18" s="428">
        <f>G18/G30</f>
        <v>5.6870059739649913E-3</v>
      </c>
    </row>
    <row r="19" spans="1:8" ht="15" customHeight="1">
      <c r="A19" s="271">
        <v>13</v>
      </c>
      <c r="B19" s="444" t="s">
        <v>86</v>
      </c>
      <c r="C19" s="435">
        <v>0</v>
      </c>
      <c r="D19" s="208">
        <v>3</v>
      </c>
      <c r="E19" s="209">
        <v>0</v>
      </c>
      <c r="F19" s="209">
        <f>1132+1</f>
        <v>1133</v>
      </c>
      <c r="G19" s="210">
        <f t="shared" si="0"/>
        <v>1136</v>
      </c>
      <c r="H19" s="428">
        <f>G19/G30</f>
        <v>2.9635040304698303E-2</v>
      </c>
    </row>
    <row r="20" spans="1:8" ht="15" customHeight="1">
      <c r="A20" s="271">
        <v>14</v>
      </c>
      <c r="B20" s="444" t="s">
        <v>87</v>
      </c>
      <c r="C20" s="435">
        <v>0</v>
      </c>
      <c r="D20" s="208">
        <v>67</v>
      </c>
      <c r="E20" s="209">
        <v>9</v>
      </c>
      <c r="F20" s="209">
        <f>732+2</f>
        <v>734</v>
      </c>
      <c r="G20" s="210">
        <f t="shared" si="0"/>
        <v>810</v>
      </c>
      <c r="H20" s="428">
        <f>G20/G30</f>
        <v>2.1130618527117628E-2</v>
      </c>
    </row>
    <row r="21" spans="1:8" ht="15" customHeight="1">
      <c r="A21" s="272">
        <v>15</v>
      </c>
      <c r="B21" s="444" t="s">
        <v>88</v>
      </c>
      <c r="C21" s="435">
        <v>0</v>
      </c>
      <c r="D21" s="208">
        <v>14</v>
      </c>
      <c r="E21" s="209">
        <v>0</v>
      </c>
      <c r="F21" s="209">
        <v>2824</v>
      </c>
      <c r="G21" s="210">
        <f t="shared" si="0"/>
        <v>2838</v>
      </c>
      <c r="H21" s="428">
        <f>G21/G30</f>
        <v>7.4035426395012136E-2</v>
      </c>
    </row>
    <row r="22" spans="1:8" ht="15" customHeight="1">
      <c r="A22" s="271">
        <v>16</v>
      </c>
      <c r="B22" s="444" t="s">
        <v>89</v>
      </c>
      <c r="C22" s="435">
        <v>0</v>
      </c>
      <c r="D22" s="208">
        <v>10</v>
      </c>
      <c r="E22" s="209">
        <v>1</v>
      </c>
      <c r="F22" s="209">
        <v>519</v>
      </c>
      <c r="G22" s="210">
        <f t="shared" si="0"/>
        <v>530</v>
      </c>
      <c r="H22" s="428">
        <f>G22/G30</f>
        <v>1.38262071844103E-2</v>
      </c>
    </row>
    <row r="23" spans="1:8" ht="15" customHeight="1">
      <c r="A23" s="272">
        <v>17</v>
      </c>
      <c r="B23" s="444" t="s">
        <v>90</v>
      </c>
      <c r="C23" s="435">
        <v>0</v>
      </c>
      <c r="D23" s="208">
        <v>0</v>
      </c>
      <c r="E23" s="209">
        <v>1</v>
      </c>
      <c r="F23" s="209">
        <v>389</v>
      </c>
      <c r="G23" s="210">
        <f t="shared" si="0"/>
        <v>390</v>
      </c>
      <c r="H23" s="428">
        <f>G23/G30</f>
        <v>1.0174001513056636E-2</v>
      </c>
    </row>
    <row r="24" spans="1:8" ht="15" customHeight="1">
      <c r="A24" s="271">
        <v>18</v>
      </c>
      <c r="B24" s="445" t="s">
        <v>91</v>
      </c>
      <c r="C24" s="435">
        <v>0</v>
      </c>
      <c r="D24" s="208">
        <v>68</v>
      </c>
      <c r="E24" s="209">
        <v>7</v>
      </c>
      <c r="F24" s="209">
        <v>360</v>
      </c>
      <c r="G24" s="210">
        <f t="shared" si="0"/>
        <v>435</v>
      </c>
      <c r="H24" s="428">
        <f>G24/G30</f>
        <v>1.134792476456317E-2</v>
      </c>
    </row>
    <row r="25" spans="1:8" ht="15" customHeight="1">
      <c r="A25" s="271">
        <v>19</v>
      </c>
      <c r="B25" s="445" t="s">
        <v>92</v>
      </c>
      <c r="C25" s="435">
        <v>0</v>
      </c>
      <c r="D25" s="208">
        <v>29</v>
      </c>
      <c r="E25" s="209">
        <v>14</v>
      </c>
      <c r="F25" s="209">
        <f>540+1</f>
        <v>541</v>
      </c>
      <c r="G25" s="210">
        <f t="shared" si="0"/>
        <v>584</v>
      </c>
      <c r="H25" s="428">
        <f>G25/G30</f>
        <v>1.523491508621814E-2</v>
      </c>
    </row>
    <row r="26" spans="1:8" ht="36.75" customHeight="1">
      <c r="A26" s="272">
        <v>20</v>
      </c>
      <c r="B26" s="445" t="s">
        <v>93</v>
      </c>
      <c r="C26" s="435">
        <v>0</v>
      </c>
      <c r="D26" s="208">
        <v>0</v>
      </c>
      <c r="E26" s="209">
        <v>0</v>
      </c>
      <c r="F26" s="209">
        <v>45</v>
      </c>
      <c r="G26" s="210">
        <f t="shared" si="0"/>
        <v>45</v>
      </c>
      <c r="H26" s="428">
        <f>G26/G30</f>
        <v>1.1739232515065349E-3</v>
      </c>
    </row>
    <row r="27" spans="1:8" ht="15" customHeight="1">
      <c r="A27" s="271">
        <v>21</v>
      </c>
      <c r="B27" s="445" t="s">
        <v>94</v>
      </c>
      <c r="C27" s="435">
        <v>0</v>
      </c>
      <c r="D27" s="208">
        <v>0</v>
      </c>
      <c r="E27" s="209">
        <v>0</v>
      </c>
      <c r="F27" s="209">
        <v>17</v>
      </c>
      <c r="G27" s="210">
        <f t="shared" si="0"/>
        <v>17</v>
      </c>
      <c r="H27" s="428">
        <f>G27/G30</f>
        <v>4.4348211723580205E-4</v>
      </c>
    </row>
    <row r="28" spans="1:8" ht="15" customHeight="1">
      <c r="A28" s="271">
        <v>22</v>
      </c>
      <c r="B28" s="446" t="s">
        <v>95</v>
      </c>
      <c r="C28" s="435">
        <v>0</v>
      </c>
      <c r="D28" s="208">
        <v>14</v>
      </c>
      <c r="E28" s="209">
        <v>24</v>
      </c>
      <c r="F28" s="209">
        <f>2541+9</f>
        <v>2550</v>
      </c>
      <c r="G28" s="210">
        <f t="shared" si="0"/>
        <v>2588</v>
      </c>
      <c r="H28" s="428">
        <f>G28/G30</f>
        <v>6.7513630553309154E-2</v>
      </c>
    </row>
    <row r="29" spans="1:8" ht="15" customHeight="1" thickBot="1">
      <c r="A29" s="490">
        <v>23</v>
      </c>
      <c r="B29" s="447" t="s">
        <v>96</v>
      </c>
      <c r="C29" s="437">
        <v>0</v>
      </c>
      <c r="D29" s="213">
        <v>0</v>
      </c>
      <c r="E29" s="214">
        <v>0</v>
      </c>
      <c r="F29" s="214">
        <v>7</v>
      </c>
      <c r="G29" s="491">
        <f t="shared" si="0"/>
        <v>7</v>
      </c>
      <c r="H29" s="492">
        <f>G29/G30</f>
        <v>1.8261028356768318E-4</v>
      </c>
    </row>
    <row r="30" spans="1:8" ht="15" customHeight="1" thickBot="1">
      <c r="A30" s="493"/>
      <c r="B30" s="483" t="s">
        <v>6</v>
      </c>
      <c r="C30" s="438">
        <f>SUM(C7:C29)</f>
        <v>61</v>
      </c>
      <c r="D30" s="215">
        <f>SUM(D7:D29)</f>
        <v>5328</v>
      </c>
      <c r="E30" s="215">
        <f>SUM(E7:E29)</f>
        <v>4441</v>
      </c>
      <c r="F30" s="215">
        <f>SUM(F7:F29)</f>
        <v>28503</v>
      </c>
      <c r="G30" s="216">
        <f>SUM(G7:G29)</f>
        <v>38333</v>
      </c>
      <c r="H30" s="494">
        <f>G30/G30</f>
        <v>1</v>
      </c>
    </row>
    <row r="31" spans="1:8">
      <c r="A31" s="229"/>
      <c r="B31" s="230"/>
      <c r="C31" s="231"/>
      <c r="D31" s="231"/>
      <c r="E31" s="231"/>
      <c r="F31" s="231"/>
      <c r="G31" s="231"/>
    </row>
    <row r="32" spans="1:8">
      <c r="A32" s="81" t="s">
        <v>133</v>
      </c>
      <c r="B32" s="81"/>
      <c r="C32" s="81"/>
      <c r="D32" s="81"/>
      <c r="E32" s="81"/>
      <c r="F32" s="81"/>
      <c r="G32" s="233" t="s">
        <v>15</v>
      </c>
      <c r="H32" s="81"/>
    </row>
    <row r="33" spans="1:8">
      <c r="A33" s="574">
        <v>41715</v>
      </c>
      <c r="B33" s="574"/>
      <c r="C33" s="81"/>
      <c r="D33" s="81"/>
      <c r="E33" s="81"/>
      <c r="F33" s="81"/>
      <c r="G33" s="233" t="s">
        <v>97</v>
      </c>
      <c r="H33" s="81"/>
    </row>
  </sheetData>
  <mergeCells count="8">
    <mergeCell ref="A3:C3"/>
    <mergeCell ref="A2:H2"/>
    <mergeCell ref="H5:H6"/>
    <mergeCell ref="C4:H4"/>
    <mergeCell ref="A33:B33"/>
    <mergeCell ref="C5:D5"/>
    <mergeCell ref="E5:F5"/>
    <mergeCell ref="G5:G6"/>
  </mergeCells>
  <pageMargins left="0.31496062992125984" right="0.31496062992125984"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H33"/>
  <sheetViews>
    <sheetView topLeftCell="A11" workbookViewId="0">
      <selection activeCell="C7" sqref="C7:F29"/>
    </sheetView>
  </sheetViews>
  <sheetFormatPr defaultRowHeight="12.75"/>
  <cols>
    <col min="1" max="1" width="5.5703125" customWidth="1"/>
    <col min="2" max="2" width="61.28515625" customWidth="1"/>
    <col min="3" max="3" width="12.42578125" customWidth="1"/>
    <col min="4" max="4" width="11.7109375" customWidth="1"/>
    <col min="5" max="5" width="12" customWidth="1"/>
    <col min="6" max="6" width="11.42578125" customWidth="1"/>
    <col min="7" max="7" width="12.7109375" customWidth="1"/>
    <col min="8" max="8" width="10.42578125" customWidth="1"/>
  </cols>
  <sheetData>
    <row r="1" spans="1:8">
      <c r="A1" s="426" t="s">
        <v>115</v>
      </c>
    </row>
    <row r="2" spans="1:8" ht="27" customHeight="1">
      <c r="A2" s="569" t="s">
        <v>134</v>
      </c>
      <c r="B2" s="569"/>
      <c r="C2" s="569"/>
      <c r="D2" s="569"/>
      <c r="E2" s="569"/>
      <c r="F2" s="569"/>
      <c r="G2" s="569"/>
      <c r="H2" s="569"/>
    </row>
    <row r="3" spans="1:8" ht="9" customHeight="1" thickBot="1">
      <c r="A3" s="568"/>
      <c r="B3" s="568"/>
      <c r="C3" s="568"/>
    </row>
    <row r="4" spans="1:8" ht="15" customHeight="1">
      <c r="A4" s="451"/>
      <c r="B4" s="440"/>
      <c r="C4" s="584" t="s">
        <v>66</v>
      </c>
      <c r="D4" s="585"/>
      <c r="E4" s="585"/>
      <c r="F4" s="585"/>
      <c r="G4" s="586"/>
      <c r="H4" s="581" t="s">
        <v>101</v>
      </c>
    </row>
    <row r="5" spans="1:8" ht="15" customHeight="1">
      <c r="A5" s="452" t="s">
        <v>67</v>
      </c>
      <c r="B5" s="441" t="s">
        <v>68</v>
      </c>
      <c r="C5" s="576" t="s">
        <v>69</v>
      </c>
      <c r="D5" s="587"/>
      <c r="E5" s="588" t="s">
        <v>70</v>
      </c>
      <c r="F5" s="588"/>
      <c r="G5" s="589" t="s">
        <v>6</v>
      </c>
      <c r="H5" s="582"/>
    </row>
    <row r="6" spans="1:8" ht="15" customHeight="1" thickBot="1">
      <c r="A6" s="442"/>
      <c r="B6" s="442"/>
      <c r="C6" s="430" t="s">
        <v>71</v>
      </c>
      <c r="D6" s="431" t="s">
        <v>72</v>
      </c>
      <c r="E6" s="431" t="s">
        <v>72</v>
      </c>
      <c r="F6" s="350" t="s">
        <v>73</v>
      </c>
      <c r="G6" s="590"/>
      <c r="H6" s="583"/>
    </row>
    <row r="7" spans="1:8" ht="15" customHeight="1">
      <c r="A7" s="433">
        <v>1</v>
      </c>
      <c r="B7" s="443" t="s">
        <v>74</v>
      </c>
      <c r="C7" s="434">
        <v>0</v>
      </c>
      <c r="D7" s="435">
        <v>1</v>
      </c>
      <c r="E7" s="294">
        <v>0</v>
      </c>
      <c r="F7" s="294">
        <v>127</v>
      </c>
      <c r="G7" s="268">
        <f>C7+D7+E7+F7</f>
        <v>128</v>
      </c>
      <c r="H7" s="450">
        <f>G7/G30</f>
        <v>3.4687406845342944E-3</v>
      </c>
    </row>
    <row r="8" spans="1:8" ht="15" customHeight="1">
      <c r="A8" s="271">
        <v>2</v>
      </c>
      <c r="B8" s="444" t="s">
        <v>75</v>
      </c>
      <c r="C8" s="435">
        <v>0</v>
      </c>
      <c r="D8" s="436">
        <v>0</v>
      </c>
      <c r="E8" s="209">
        <v>0</v>
      </c>
      <c r="F8" s="209">
        <v>51</v>
      </c>
      <c r="G8" s="265">
        <f t="shared" ref="G8:G29" si="0">C8+D8+E8+F8</f>
        <v>51</v>
      </c>
      <c r="H8" s="273">
        <f>G8/G30</f>
        <v>1.3820763664941329E-3</v>
      </c>
    </row>
    <row r="9" spans="1:8" ht="15" customHeight="1">
      <c r="A9" s="271">
        <v>3</v>
      </c>
      <c r="B9" s="444" t="s">
        <v>76</v>
      </c>
      <c r="C9" s="435">
        <v>69</v>
      </c>
      <c r="D9" s="435">
        <v>0</v>
      </c>
      <c r="E9" s="209">
        <v>1</v>
      </c>
      <c r="F9" s="209">
        <f>2679+2</f>
        <v>2681</v>
      </c>
      <c r="G9" s="265">
        <f t="shared" si="0"/>
        <v>2751</v>
      </c>
      <c r="H9" s="273">
        <f>G9/G30</f>
        <v>7.4550825180889402E-2</v>
      </c>
    </row>
    <row r="10" spans="1:8" ht="15.75" customHeight="1">
      <c r="A10" s="271">
        <v>4</v>
      </c>
      <c r="B10" s="444" t="s">
        <v>77</v>
      </c>
      <c r="C10" s="436">
        <v>0</v>
      </c>
      <c r="D10" s="436">
        <v>0</v>
      </c>
      <c r="E10" s="212">
        <v>0</v>
      </c>
      <c r="F10" s="193">
        <v>48</v>
      </c>
      <c r="G10" s="265">
        <f t="shared" si="0"/>
        <v>48</v>
      </c>
      <c r="H10" s="273">
        <f>G10/G30</f>
        <v>1.3007777567003605E-3</v>
      </c>
    </row>
    <row r="11" spans="1:8" ht="24.75" customHeight="1">
      <c r="A11" s="271">
        <v>5</v>
      </c>
      <c r="B11" s="444" t="s">
        <v>78</v>
      </c>
      <c r="C11" s="435">
        <v>0</v>
      </c>
      <c r="D11" s="436">
        <v>0</v>
      </c>
      <c r="E11" s="209">
        <v>0</v>
      </c>
      <c r="F11" s="209">
        <v>15</v>
      </c>
      <c r="G11" s="265">
        <f t="shared" si="0"/>
        <v>15</v>
      </c>
      <c r="H11" s="273">
        <f>G11/G30</f>
        <v>4.0649304896886261E-4</v>
      </c>
    </row>
    <row r="12" spans="1:8" ht="15" customHeight="1">
      <c r="A12" s="271">
        <v>6</v>
      </c>
      <c r="B12" s="449" t="s">
        <v>79</v>
      </c>
      <c r="C12" s="436">
        <v>0</v>
      </c>
      <c r="D12" s="436">
        <v>4</v>
      </c>
      <c r="E12" s="212">
        <v>19</v>
      </c>
      <c r="F12" s="212">
        <v>3761</v>
      </c>
      <c r="G12" s="266">
        <f t="shared" si="0"/>
        <v>3784</v>
      </c>
      <c r="H12" s="274">
        <f>G12/G30</f>
        <v>0.10254464648654509</v>
      </c>
    </row>
    <row r="13" spans="1:8" ht="25.5" customHeight="1">
      <c r="A13" s="271">
        <v>7</v>
      </c>
      <c r="B13" s="449" t="s">
        <v>80</v>
      </c>
      <c r="C13" s="436">
        <v>0</v>
      </c>
      <c r="D13" s="436">
        <v>250</v>
      </c>
      <c r="E13" s="212">
        <v>28</v>
      </c>
      <c r="F13" s="212">
        <f>4989+1</f>
        <v>4990</v>
      </c>
      <c r="G13" s="266">
        <f t="shared" si="0"/>
        <v>5268</v>
      </c>
      <c r="H13" s="274">
        <f>G13/G30</f>
        <v>0.14276035879786456</v>
      </c>
    </row>
    <row r="14" spans="1:8" ht="15" customHeight="1">
      <c r="A14" s="271">
        <v>8</v>
      </c>
      <c r="B14" s="444" t="s">
        <v>81</v>
      </c>
      <c r="C14" s="436">
        <v>0</v>
      </c>
      <c r="D14" s="435">
        <v>45</v>
      </c>
      <c r="E14" s="189">
        <v>4</v>
      </c>
      <c r="F14" s="193">
        <f>1332+1</f>
        <v>1333</v>
      </c>
      <c r="G14" s="265">
        <f t="shared" si="0"/>
        <v>1382</v>
      </c>
      <c r="H14" s="273">
        <f>G14/G30</f>
        <v>3.7451559578331212E-2</v>
      </c>
    </row>
    <row r="15" spans="1:8" ht="24.75" customHeight="1">
      <c r="A15" s="271">
        <v>9</v>
      </c>
      <c r="B15" s="449" t="s">
        <v>82</v>
      </c>
      <c r="C15" s="436">
        <v>0</v>
      </c>
      <c r="D15" s="435">
        <v>4666</v>
      </c>
      <c r="E15" s="212">
        <v>4178</v>
      </c>
      <c r="F15" s="212">
        <f>3081+5</f>
        <v>3086</v>
      </c>
      <c r="G15" s="266">
        <f t="shared" si="0"/>
        <v>11930</v>
      </c>
      <c r="H15" s="274">
        <f>G15/G30</f>
        <v>0.32329747161323541</v>
      </c>
    </row>
    <row r="16" spans="1:8" ht="15" customHeight="1">
      <c r="A16" s="271">
        <v>10</v>
      </c>
      <c r="B16" s="444" t="s">
        <v>83</v>
      </c>
      <c r="C16" s="435">
        <v>0</v>
      </c>
      <c r="D16" s="435">
        <v>1</v>
      </c>
      <c r="E16" s="209">
        <v>1</v>
      </c>
      <c r="F16" s="209">
        <v>393</v>
      </c>
      <c r="G16" s="265">
        <f t="shared" si="0"/>
        <v>395</v>
      </c>
      <c r="H16" s="273">
        <f>G16/G30</f>
        <v>1.0704316956180049E-2</v>
      </c>
    </row>
    <row r="17" spans="1:8" ht="15" customHeight="1">
      <c r="A17" s="271">
        <v>11</v>
      </c>
      <c r="B17" s="444" t="s">
        <v>84</v>
      </c>
      <c r="C17" s="435">
        <v>0</v>
      </c>
      <c r="D17" s="435">
        <v>1</v>
      </c>
      <c r="E17" s="209">
        <v>0</v>
      </c>
      <c r="F17" s="193">
        <v>1895</v>
      </c>
      <c r="G17" s="265">
        <f t="shared" si="0"/>
        <v>1896</v>
      </c>
      <c r="H17" s="273">
        <f>G17/G30</f>
        <v>5.1380721389664236E-2</v>
      </c>
    </row>
    <row r="18" spans="1:8" ht="15" customHeight="1">
      <c r="A18" s="271">
        <v>12</v>
      </c>
      <c r="B18" s="444" t="s">
        <v>85</v>
      </c>
      <c r="C18" s="435">
        <v>0</v>
      </c>
      <c r="D18" s="435">
        <v>14</v>
      </c>
      <c r="E18" s="209">
        <v>11</v>
      </c>
      <c r="F18" s="209">
        <v>206</v>
      </c>
      <c r="G18" s="265">
        <f t="shared" si="0"/>
        <v>231</v>
      </c>
      <c r="H18" s="273">
        <f>G18/G30</f>
        <v>6.2599929541204847E-3</v>
      </c>
    </row>
    <row r="19" spans="1:8" ht="15" customHeight="1">
      <c r="A19" s="271">
        <v>13</v>
      </c>
      <c r="B19" s="444" t="s">
        <v>86</v>
      </c>
      <c r="C19" s="435">
        <v>0</v>
      </c>
      <c r="D19" s="435">
        <v>2</v>
      </c>
      <c r="E19" s="209">
        <v>0</v>
      </c>
      <c r="F19" s="209">
        <v>1059</v>
      </c>
      <c r="G19" s="265">
        <f t="shared" si="0"/>
        <v>1061</v>
      </c>
      <c r="H19" s="273">
        <f>G19/G30</f>
        <v>2.8752608330397549E-2</v>
      </c>
    </row>
    <row r="20" spans="1:8" ht="15" customHeight="1">
      <c r="A20" s="271">
        <v>14</v>
      </c>
      <c r="B20" s="444" t="s">
        <v>87</v>
      </c>
      <c r="C20" s="435">
        <v>0</v>
      </c>
      <c r="D20" s="435">
        <v>68</v>
      </c>
      <c r="E20" s="209">
        <v>9</v>
      </c>
      <c r="F20" s="209">
        <f>678+1</f>
        <v>679</v>
      </c>
      <c r="G20" s="265">
        <f t="shared" si="0"/>
        <v>756</v>
      </c>
      <c r="H20" s="273">
        <f>G20/G30</f>
        <v>2.0487249668030675E-2</v>
      </c>
    </row>
    <row r="21" spans="1:8" ht="15" customHeight="1">
      <c r="A21" s="272">
        <v>15</v>
      </c>
      <c r="B21" s="444" t="s">
        <v>88</v>
      </c>
      <c r="C21" s="435">
        <v>0</v>
      </c>
      <c r="D21" s="435">
        <v>14</v>
      </c>
      <c r="E21" s="209">
        <v>0</v>
      </c>
      <c r="F21" s="209">
        <v>2734</v>
      </c>
      <c r="G21" s="265">
        <f t="shared" si="0"/>
        <v>2748</v>
      </c>
      <c r="H21" s="273">
        <f>G21/G30</f>
        <v>7.4469526571095637E-2</v>
      </c>
    </row>
    <row r="22" spans="1:8" ht="15" customHeight="1">
      <c r="A22" s="271">
        <v>16</v>
      </c>
      <c r="B22" s="444" t="s">
        <v>89</v>
      </c>
      <c r="C22" s="435">
        <v>0</v>
      </c>
      <c r="D22" s="435">
        <v>11</v>
      </c>
      <c r="E22" s="209">
        <v>1</v>
      </c>
      <c r="F22" s="209">
        <v>461</v>
      </c>
      <c r="G22" s="265">
        <f t="shared" si="0"/>
        <v>473</v>
      </c>
      <c r="H22" s="273">
        <f>G22/G30</f>
        <v>1.2818080810818136E-2</v>
      </c>
    </row>
    <row r="23" spans="1:8" ht="24" customHeight="1">
      <c r="A23" s="272">
        <v>17</v>
      </c>
      <c r="B23" s="444" t="s">
        <v>90</v>
      </c>
      <c r="C23" s="435">
        <v>0</v>
      </c>
      <c r="D23" s="435">
        <v>0</v>
      </c>
      <c r="E23" s="209">
        <v>1</v>
      </c>
      <c r="F23" s="209">
        <f>366+1</f>
        <v>367</v>
      </c>
      <c r="G23" s="265">
        <f t="shared" si="0"/>
        <v>368</v>
      </c>
      <c r="H23" s="273">
        <f>G23/G30</f>
        <v>9.9726294680360962E-3</v>
      </c>
    </row>
    <row r="24" spans="1:8" ht="15" customHeight="1">
      <c r="A24" s="271">
        <v>18</v>
      </c>
      <c r="B24" s="445" t="s">
        <v>91</v>
      </c>
      <c r="C24" s="435">
        <v>0</v>
      </c>
      <c r="D24" s="435">
        <v>63</v>
      </c>
      <c r="E24" s="209">
        <v>7</v>
      </c>
      <c r="F24" s="209">
        <f>345+1</f>
        <v>346</v>
      </c>
      <c r="G24" s="265">
        <f t="shared" si="0"/>
        <v>416</v>
      </c>
      <c r="H24" s="273">
        <f>G24/G30</f>
        <v>1.1273407224736458E-2</v>
      </c>
    </row>
    <row r="25" spans="1:8" ht="15" customHeight="1">
      <c r="A25" s="271">
        <v>19</v>
      </c>
      <c r="B25" s="445" t="s">
        <v>92</v>
      </c>
      <c r="C25" s="435">
        <v>0</v>
      </c>
      <c r="D25" s="435">
        <v>40</v>
      </c>
      <c r="E25" s="209">
        <v>13</v>
      </c>
      <c r="F25" s="209">
        <f>514+1</f>
        <v>515</v>
      </c>
      <c r="G25" s="265">
        <f t="shared" si="0"/>
        <v>568</v>
      </c>
      <c r="H25" s="273">
        <f>G25/G30</f>
        <v>1.5392536787620932E-2</v>
      </c>
    </row>
    <row r="26" spans="1:8" ht="39" customHeight="1">
      <c r="A26" s="272">
        <v>20</v>
      </c>
      <c r="B26" s="445" t="s">
        <v>93</v>
      </c>
      <c r="C26" s="435">
        <v>0</v>
      </c>
      <c r="D26" s="435">
        <v>0</v>
      </c>
      <c r="E26" s="209">
        <v>0</v>
      </c>
      <c r="F26" s="209">
        <v>35</v>
      </c>
      <c r="G26" s="265">
        <f t="shared" si="0"/>
        <v>35</v>
      </c>
      <c r="H26" s="273">
        <f>G26/G30</f>
        <v>9.4848378092734619E-4</v>
      </c>
    </row>
    <row r="27" spans="1:8" ht="15" customHeight="1">
      <c r="A27" s="271">
        <v>21</v>
      </c>
      <c r="B27" s="445" t="s">
        <v>94</v>
      </c>
      <c r="C27" s="435">
        <v>0</v>
      </c>
      <c r="D27" s="435">
        <v>0</v>
      </c>
      <c r="E27" s="209">
        <v>0</v>
      </c>
      <c r="F27" s="209">
        <v>15</v>
      </c>
      <c r="G27" s="265">
        <f t="shared" si="0"/>
        <v>15</v>
      </c>
      <c r="H27" s="273">
        <f>G27/G30</f>
        <v>4.0649304896886261E-4</v>
      </c>
    </row>
    <row r="28" spans="1:8" ht="15" customHeight="1">
      <c r="A28" s="271">
        <v>22</v>
      </c>
      <c r="B28" s="446" t="s">
        <v>95</v>
      </c>
      <c r="C28" s="435">
        <v>0</v>
      </c>
      <c r="D28" s="435">
        <v>20</v>
      </c>
      <c r="E28" s="209">
        <v>25</v>
      </c>
      <c r="F28" s="209">
        <f>2513+7</f>
        <v>2520</v>
      </c>
      <c r="G28" s="265">
        <f t="shared" si="0"/>
        <v>2565</v>
      </c>
      <c r="H28" s="273">
        <f>G28/G30</f>
        <v>6.9510311373675512E-2</v>
      </c>
    </row>
    <row r="29" spans="1:8" ht="15" customHeight="1" thickBot="1">
      <c r="A29" s="271">
        <v>23</v>
      </c>
      <c r="B29" s="447" t="s">
        <v>96</v>
      </c>
      <c r="C29" s="437">
        <v>0</v>
      </c>
      <c r="D29" s="437">
        <v>0</v>
      </c>
      <c r="E29" s="214">
        <v>0</v>
      </c>
      <c r="F29" s="214">
        <v>17</v>
      </c>
      <c r="G29" s="275">
        <f t="shared" si="0"/>
        <v>17</v>
      </c>
      <c r="H29" s="276">
        <f>G29/G30</f>
        <v>4.6069212216471098E-4</v>
      </c>
    </row>
    <row r="30" spans="1:8" ht="15" customHeight="1" thickBot="1">
      <c r="A30" s="228"/>
      <c r="B30" s="439" t="s">
        <v>6</v>
      </c>
      <c r="C30" s="438">
        <f t="shared" ref="C30:H30" si="1">SUM(C7:C29)</f>
        <v>69</v>
      </c>
      <c r="D30" s="215">
        <f t="shared" si="1"/>
        <v>5200</v>
      </c>
      <c r="E30" s="215">
        <f t="shared" si="1"/>
        <v>4298</v>
      </c>
      <c r="F30" s="215">
        <f t="shared" si="1"/>
        <v>27334</v>
      </c>
      <c r="G30" s="267">
        <f t="shared" si="1"/>
        <v>36901</v>
      </c>
      <c r="H30" s="277">
        <f t="shared" si="1"/>
        <v>1.0000000000000002</v>
      </c>
    </row>
    <row r="31" spans="1:8">
      <c r="A31" s="229"/>
      <c r="B31" s="230"/>
      <c r="C31" s="231"/>
      <c r="D31" s="231"/>
      <c r="E31" s="231"/>
      <c r="F31" s="231"/>
      <c r="G31" s="231"/>
    </row>
    <row r="32" spans="1:8">
      <c r="A32" s="81" t="s">
        <v>133</v>
      </c>
      <c r="B32" s="81"/>
      <c r="C32" s="81"/>
      <c r="D32" s="81"/>
      <c r="E32" s="81"/>
      <c r="F32" s="233" t="s">
        <v>15</v>
      </c>
      <c r="G32" s="81"/>
    </row>
    <row r="33" spans="1:7">
      <c r="A33" s="574">
        <v>41745</v>
      </c>
      <c r="B33" s="574"/>
      <c r="C33" s="81"/>
      <c r="D33" s="81"/>
      <c r="E33" s="81"/>
      <c r="F33" s="233" t="s">
        <v>97</v>
      </c>
      <c r="G33" s="81"/>
    </row>
  </sheetData>
  <mergeCells count="8">
    <mergeCell ref="A33:B33"/>
    <mergeCell ref="H4:H6"/>
    <mergeCell ref="A2:H2"/>
    <mergeCell ref="A3:C3"/>
    <mergeCell ref="C4:G4"/>
    <mergeCell ref="C5:D5"/>
    <mergeCell ref="E5:F5"/>
    <mergeCell ref="G5:G6"/>
  </mergeCells>
  <pageMargins left="0.31496062992125984" right="0.19685039370078741" top="0.35433070866141736"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H33"/>
  <sheetViews>
    <sheetView topLeftCell="A11" workbookViewId="0">
      <selection activeCell="C7" sqref="C7:F29"/>
    </sheetView>
  </sheetViews>
  <sheetFormatPr defaultRowHeight="12.75"/>
  <cols>
    <col min="1" max="1" width="4.85546875" customWidth="1"/>
    <col min="2" max="2" width="47.140625" customWidth="1"/>
    <col min="3" max="8" width="12.7109375" customWidth="1"/>
  </cols>
  <sheetData>
    <row r="1" spans="1:8">
      <c r="A1" s="426" t="s">
        <v>116</v>
      </c>
    </row>
    <row r="2" spans="1:8" ht="28.5" customHeight="1">
      <c r="A2" s="569" t="s">
        <v>135</v>
      </c>
      <c r="B2" s="569"/>
      <c r="C2" s="569"/>
      <c r="D2" s="569"/>
      <c r="E2" s="569"/>
      <c r="F2" s="569"/>
      <c r="G2" s="569"/>
      <c r="H2" s="569"/>
    </row>
    <row r="3" spans="1:8" ht="11.25" customHeight="1" thickBot="1">
      <c r="A3" s="568"/>
      <c r="B3" s="568"/>
      <c r="C3" s="568"/>
    </row>
    <row r="4" spans="1:8" ht="15" customHeight="1">
      <c r="A4" s="451"/>
      <c r="B4" s="440"/>
      <c r="C4" s="572" t="s">
        <v>66</v>
      </c>
      <c r="D4" s="572"/>
      <c r="E4" s="572"/>
      <c r="F4" s="572"/>
      <c r="G4" s="592"/>
      <c r="H4" s="593" t="s">
        <v>101</v>
      </c>
    </row>
    <row r="5" spans="1:8" ht="15" customHeight="1">
      <c r="A5" s="452" t="s">
        <v>67</v>
      </c>
      <c r="B5" s="441" t="s">
        <v>68</v>
      </c>
      <c r="C5" s="575" t="s">
        <v>69</v>
      </c>
      <c r="D5" s="576"/>
      <c r="E5" s="577" t="s">
        <v>70</v>
      </c>
      <c r="F5" s="578"/>
      <c r="G5" s="596" t="s">
        <v>6</v>
      </c>
      <c r="H5" s="594"/>
    </row>
    <row r="6" spans="1:8" ht="25.5" customHeight="1" thickBot="1">
      <c r="A6" s="442"/>
      <c r="B6" s="442"/>
      <c r="C6" s="453" t="s">
        <v>71</v>
      </c>
      <c r="D6" s="431" t="s">
        <v>72</v>
      </c>
      <c r="E6" s="431" t="s">
        <v>72</v>
      </c>
      <c r="F6" s="350" t="s">
        <v>73</v>
      </c>
      <c r="G6" s="597"/>
      <c r="H6" s="595"/>
    </row>
    <row r="7" spans="1:8" ht="15" customHeight="1">
      <c r="A7" s="454">
        <v>1</v>
      </c>
      <c r="B7" s="443" t="s">
        <v>74</v>
      </c>
      <c r="C7" s="434">
        <v>0</v>
      </c>
      <c r="D7" s="434">
        <v>1</v>
      </c>
      <c r="E7" s="294">
        <v>0</v>
      </c>
      <c r="F7" s="294">
        <v>130</v>
      </c>
      <c r="G7" s="265">
        <f>C7+D7+E7+F7</f>
        <v>131</v>
      </c>
      <c r="H7" s="458">
        <f>G7/G30</f>
        <v>3.7411469042723327E-3</v>
      </c>
    </row>
    <row r="8" spans="1:8" ht="15" customHeight="1">
      <c r="A8" s="455">
        <v>2</v>
      </c>
      <c r="B8" s="444" t="s">
        <v>75</v>
      </c>
      <c r="C8" s="435">
        <v>0</v>
      </c>
      <c r="D8" s="435">
        <v>0</v>
      </c>
      <c r="E8" s="209">
        <v>0</v>
      </c>
      <c r="F8" s="209">
        <v>49</v>
      </c>
      <c r="G8" s="265">
        <f t="shared" ref="G8:G29" si="0">C8+D8+E8+F8</f>
        <v>49</v>
      </c>
      <c r="H8" s="459">
        <f>G8/G30</f>
        <v>1.3993602924377427E-3</v>
      </c>
    </row>
    <row r="9" spans="1:8" ht="15" customHeight="1">
      <c r="A9" s="455">
        <v>3</v>
      </c>
      <c r="B9" s="444" t="s">
        <v>76</v>
      </c>
      <c r="C9" s="435">
        <v>43</v>
      </c>
      <c r="D9" s="208">
        <v>0</v>
      </c>
      <c r="E9" s="209">
        <v>1</v>
      </c>
      <c r="F9" s="209">
        <f>2576+1</f>
        <v>2577</v>
      </c>
      <c r="G9" s="265">
        <f t="shared" si="0"/>
        <v>2621</v>
      </c>
      <c r="H9" s="459">
        <f>G9/G30</f>
        <v>7.4851496458761713E-2</v>
      </c>
    </row>
    <row r="10" spans="1:8" ht="14.25" customHeight="1">
      <c r="A10" s="455">
        <v>4</v>
      </c>
      <c r="B10" s="444" t="s">
        <v>77</v>
      </c>
      <c r="C10" s="436">
        <v>0</v>
      </c>
      <c r="D10" s="436">
        <v>0</v>
      </c>
      <c r="E10" s="212">
        <v>0</v>
      </c>
      <c r="F10" s="193">
        <v>50</v>
      </c>
      <c r="G10" s="265">
        <f t="shared" si="0"/>
        <v>50</v>
      </c>
      <c r="H10" s="459">
        <f>G10/G30</f>
        <v>1.4279186657527986E-3</v>
      </c>
    </row>
    <row r="11" spans="1:8" ht="27.75" customHeight="1">
      <c r="A11" s="455">
        <v>5</v>
      </c>
      <c r="B11" s="444" t="s">
        <v>78</v>
      </c>
      <c r="C11" s="435">
        <v>0</v>
      </c>
      <c r="D11" s="435">
        <v>0</v>
      </c>
      <c r="E11" s="209">
        <v>0</v>
      </c>
      <c r="F11" s="209">
        <v>10</v>
      </c>
      <c r="G11" s="265">
        <f t="shared" si="0"/>
        <v>10</v>
      </c>
      <c r="H11" s="459">
        <f>G11/G30</f>
        <v>2.8558373315055975E-4</v>
      </c>
    </row>
    <row r="12" spans="1:8" ht="15" customHeight="1">
      <c r="A12" s="455">
        <v>6</v>
      </c>
      <c r="B12" s="449" t="s">
        <v>79</v>
      </c>
      <c r="C12" s="436">
        <v>0</v>
      </c>
      <c r="D12" s="436">
        <v>5</v>
      </c>
      <c r="E12" s="212">
        <v>19</v>
      </c>
      <c r="F12" s="212">
        <v>3600</v>
      </c>
      <c r="G12" s="266">
        <f t="shared" si="0"/>
        <v>3624</v>
      </c>
      <c r="H12" s="460">
        <f>G12/G30</f>
        <v>0.10349554489376285</v>
      </c>
    </row>
    <row r="13" spans="1:8" ht="27.75" customHeight="1">
      <c r="A13" s="455">
        <v>7</v>
      </c>
      <c r="B13" s="449" t="s">
        <v>80</v>
      </c>
      <c r="C13" s="436">
        <v>0</v>
      </c>
      <c r="D13" s="436">
        <v>235</v>
      </c>
      <c r="E13" s="212">
        <v>25</v>
      </c>
      <c r="F13" s="212">
        <v>4830</v>
      </c>
      <c r="G13" s="266">
        <f t="shared" si="0"/>
        <v>5090</v>
      </c>
      <c r="H13" s="460">
        <f>G13/G30</f>
        <v>0.14536212017363492</v>
      </c>
    </row>
    <row r="14" spans="1:8" ht="15" customHeight="1">
      <c r="A14" s="455">
        <v>8</v>
      </c>
      <c r="B14" s="444" t="s">
        <v>81</v>
      </c>
      <c r="C14" s="436">
        <v>0</v>
      </c>
      <c r="D14" s="436">
        <v>44</v>
      </c>
      <c r="E14" s="189">
        <v>4</v>
      </c>
      <c r="F14" s="193">
        <f>1256+1</f>
        <v>1257</v>
      </c>
      <c r="G14" s="265">
        <f t="shared" si="0"/>
        <v>1305</v>
      </c>
      <c r="H14" s="459">
        <f>G14/G30</f>
        <v>3.7268677176148048E-2</v>
      </c>
    </row>
    <row r="15" spans="1:8" ht="25.5" customHeight="1">
      <c r="A15" s="455">
        <v>9</v>
      </c>
      <c r="B15" s="449" t="s">
        <v>82</v>
      </c>
      <c r="C15" s="436">
        <v>0</v>
      </c>
      <c r="D15" s="436">
        <v>3936</v>
      </c>
      <c r="E15" s="212">
        <v>3990</v>
      </c>
      <c r="F15" s="212">
        <f>2991+5</f>
        <v>2996</v>
      </c>
      <c r="G15" s="266">
        <f t="shared" si="0"/>
        <v>10922</v>
      </c>
      <c r="H15" s="460">
        <f>G15/G30</f>
        <v>0.31191455334704138</v>
      </c>
    </row>
    <row r="16" spans="1:8" ht="15" customHeight="1">
      <c r="A16" s="455">
        <v>10</v>
      </c>
      <c r="B16" s="444" t="s">
        <v>83</v>
      </c>
      <c r="C16" s="435">
        <v>0</v>
      </c>
      <c r="D16" s="435">
        <v>1</v>
      </c>
      <c r="E16" s="209">
        <v>2</v>
      </c>
      <c r="F16" s="209">
        <v>383</v>
      </c>
      <c r="G16" s="265">
        <f t="shared" si="0"/>
        <v>386</v>
      </c>
      <c r="H16" s="459">
        <f>G16/G30</f>
        <v>1.1023532099611606E-2</v>
      </c>
    </row>
    <row r="17" spans="1:8" ht="15" customHeight="1">
      <c r="A17" s="455">
        <v>11</v>
      </c>
      <c r="B17" s="444" t="s">
        <v>84</v>
      </c>
      <c r="C17" s="435">
        <v>0</v>
      </c>
      <c r="D17" s="435">
        <v>1</v>
      </c>
      <c r="E17" s="209">
        <v>0</v>
      </c>
      <c r="F17" s="193">
        <v>1827</v>
      </c>
      <c r="G17" s="265">
        <f t="shared" si="0"/>
        <v>1828</v>
      </c>
      <c r="H17" s="459">
        <f>G17/G30</f>
        <v>5.2204706419922323E-2</v>
      </c>
    </row>
    <row r="18" spans="1:8" ht="15" customHeight="1">
      <c r="A18" s="455">
        <v>12</v>
      </c>
      <c r="B18" s="444" t="s">
        <v>85</v>
      </c>
      <c r="C18" s="435">
        <v>0</v>
      </c>
      <c r="D18" s="435">
        <v>5</v>
      </c>
      <c r="E18" s="209">
        <v>10</v>
      </c>
      <c r="F18" s="209">
        <v>167</v>
      </c>
      <c r="G18" s="265">
        <f t="shared" si="0"/>
        <v>182</v>
      </c>
      <c r="H18" s="459">
        <f>G18/G30</f>
        <v>5.1976239433401874E-3</v>
      </c>
    </row>
    <row r="19" spans="1:8" ht="15" customHeight="1">
      <c r="A19" s="455">
        <v>13</v>
      </c>
      <c r="B19" s="444" t="s">
        <v>86</v>
      </c>
      <c r="C19" s="435">
        <v>0</v>
      </c>
      <c r="D19" s="435">
        <v>2</v>
      </c>
      <c r="E19" s="209">
        <v>0</v>
      </c>
      <c r="F19" s="209">
        <v>994</v>
      </c>
      <c r="G19" s="265">
        <f t="shared" si="0"/>
        <v>996</v>
      </c>
      <c r="H19" s="459">
        <f>G19/G30</f>
        <v>2.844413982179575E-2</v>
      </c>
    </row>
    <row r="20" spans="1:8" ht="15" customHeight="1">
      <c r="A20" s="455">
        <v>14</v>
      </c>
      <c r="B20" s="444" t="s">
        <v>87</v>
      </c>
      <c r="C20" s="435">
        <v>0</v>
      </c>
      <c r="D20" s="435">
        <v>64</v>
      </c>
      <c r="E20" s="209">
        <v>8</v>
      </c>
      <c r="F20" s="209">
        <f>639+1</f>
        <v>640</v>
      </c>
      <c r="G20" s="265">
        <f t="shared" si="0"/>
        <v>712</v>
      </c>
      <c r="H20" s="459">
        <f>G20/G30</f>
        <v>2.0333561800319852E-2</v>
      </c>
    </row>
    <row r="21" spans="1:8" ht="15" customHeight="1">
      <c r="A21" s="456">
        <v>15</v>
      </c>
      <c r="B21" s="444" t="s">
        <v>88</v>
      </c>
      <c r="C21" s="435">
        <v>0</v>
      </c>
      <c r="D21" s="435">
        <v>14</v>
      </c>
      <c r="E21" s="209">
        <v>0</v>
      </c>
      <c r="F21" s="209">
        <v>2733</v>
      </c>
      <c r="G21" s="265">
        <f t="shared" si="0"/>
        <v>2747</v>
      </c>
      <c r="H21" s="459">
        <f>G21/G30</f>
        <v>7.8449851496458764E-2</v>
      </c>
    </row>
    <row r="22" spans="1:8" ht="15" customHeight="1">
      <c r="A22" s="455">
        <v>16</v>
      </c>
      <c r="B22" s="444" t="s">
        <v>89</v>
      </c>
      <c r="C22" s="435">
        <v>0</v>
      </c>
      <c r="D22" s="435">
        <v>10</v>
      </c>
      <c r="E22" s="209">
        <v>0</v>
      </c>
      <c r="F22" s="209">
        <v>425</v>
      </c>
      <c r="G22" s="265">
        <f t="shared" si="0"/>
        <v>435</v>
      </c>
      <c r="H22" s="459">
        <f>G22/G30</f>
        <v>1.2422892392049349E-2</v>
      </c>
    </row>
    <row r="23" spans="1:8" ht="24.75" customHeight="1">
      <c r="A23" s="456">
        <v>17</v>
      </c>
      <c r="B23" s="444" t="s">
        <v>90</v>
      </c>
      <c r="C23" s="435">
        <v>0</v>
      </c>
      <c r="D23" s="435">
        <v>0</v>
      </c>
      <c r="E23" s="209">
        <v>1</v>
      </c>
      <c r="F23" s="209">
        <v>347</v>
      </c>
      <c r="G23" s="265">
        <f t="shared" si="0"/>
        <v>348</v>
      </c>
      <c r="H23" s="459">
        <f>G23/G30</f>
        <v>9.938313913639479E-3</v>
      </c>
    </row>
    <row r="24" spans="1:8" ht="15.75" customHeight="1">
      <c r="A24" s="455">
        <v>18</v>
      </c>
      <c r="B24" s="445" t="s">
        <v>91</v>
      </c>
      <c r="C24" s="435">
        <v>0</v>
      </c>
      <c r="D24" s="435">
        <v>61</v>
      </c>
      <c r="E24" s="209">
        <v>6</v>
      </c>
      <c r="F24" s="209">
        <f>337+1</f>
        <v>338</v>
      </c>
      <c r="G24" s="265">
        <f t="shared" si="0"/>
        <v>405</v>
      </c>
      <c r="H24" s="459">
        <f>G24/G30</f>
        <v>1.1566141192597669E-2</v>
      </c>
    </row>
    <row r="25" spans="1:8" ht="13.5" customHeight="1">
      <c r="A25" s="455">
        <v>19</v>
      </c>
      <c r="B25" s="445" t="s">
        <v>92</v>
      </c>
      <c r="C25" s="435">
        <v>0</v>
      </c>
      <c r="D25" s="435">
        <v>29</v>
      </c>
      <c r="E25" s="209">
        <v>12</v>
      </c>
      <c r="F25" s="209">
        <f>497+1</f>
        <v>498</v>
      </c>
      <c r="G25" s="265">
        <f t="shared" si="0"/>
        <v>539</v>
      </c>
      <c r="H25" s="459">
        <f>G25/G30</f>
        <v>1.5392963216815171E-2</v>
      </c>
    </row>
    <row r="26" spans="1:8" ht="36.75" customHeight="1">
      <c r="A26" s="456">
        <v>20</v>
      </c>
      <c r="B26" s="445" t="s">
        <v>93</v>
      </c>
      <c r="C26" s="435">
        <v>0</v>
      </c>
      <c r="D26" s="435">
        <v>0</v>
      </c>
      <c r="E26" s="209">
        <v>0</v>
      </c>
      <c r="F26" s="209">
        <v>34</v>
      </c>
      <c r="G26" s="265">
        <f t="shared" si="0"/>
        <v>34</v>
      </c>
      <c r="H26" s="459">
        <f>G26/G30</f>
        <v>9.7098469271190318E-4</v>
      </c>
    </row>
    <row r="27" spans="1:8" ht="15.75" customHeight="1">
      <c r="A27" s="455">
        <v>21</v>
      </c>
      <c r="B27" s="445" t="s">
        <v>94</v>
      </c>
      <c r="C27" s="435">
        <v>0</v>
      </c>
      <c r="D27" s="435">
        <v>0</v>
      </c>
      <c r="E27" s="209">
        <v>0</v>
      </c>
      <c r="F27" s="209">
        <v>16</v>
      </c>
      <c r="G27" s="265">
        <f t="shared" si="0"/>
        <v>16</v>
      </c>
      <c r="H27" s="459">
        <f>G27/G30</f>
        <v>4.569339730408956E-4</v>
      </c>
    </row>
    <row r="28" spans="1:8" ht="15.75" customHeight="1">
      <c r="A28" s="455">
        <v>22</v>
      </c>
      <c r="B28" s="446" t="s">
        <v>95</v>
      </c>
      <c r="C28" s="435">
        <v>0</v>
      </c>
      <c r="D28" s="435">
        <v>17</v>
      </c>
      <c r="E28" s="209">
        <v>24</v>
      </c>
      <c r="F28" s="209">
        <f>2526+6</f>
        <v>2532</v>
      </c>
      <c r="G28" s="265">
        <f t="shared" si="0"/>
        <v>2573</v>
      </c>
      <c r="H28" s="459">
        <f>G28/G30</f>
        <v>7.3480694539639027E-2</v>
      </c>
    </row>
    <row r="29" spans="1:8" ht="15.75" customHeight="1" thickBot="1">
      <c r="A29" s="455">
        <v>23</v>
      </c>
      <c r="B29" s="447" t="s">
        <v>96</v>
      </c>
      <c r="C29" s="437">
        <v>0</v>
      </c>
      <c r="D29" s="437">
        <v>0</v>
      </c>
      <c r="E29" s="214">
        <v>0</v>
      </c>
      <c r="F29" s="214">
        <v>13</v>
      </c>
      <c r="G29" s="275">
        <f t="shared" si="0"/>
        <v>13</v>
      </c>
      <c r="H29" s="461">
        <f>G29/G30</f>
        <v>3.7125885309572765E-4</v>
      </c>
    </row>
    <row r="30" spans="1:8" ht="12.75" customHeight="1" thickBot="1">
      <c r="A30" s="457"/>
      <c r="B30" s="439" t="s">
        <v>6</v>
      </c>
      <c r="C30" s="438">
        <f t="shared" ref="C30:H30" si="1">SUM(C7:C29)</f>
        <v>43</v>
      </c>
      <c r="D30" s="215">
        <f t="shared" si="1"/>
        <v>4425</v>
      </c>
      <c r="E30" s="215">
        <f t="shared" si="1"/>
        <v>4102</v>
      </c>
      <c r="F30" s="215">
        <f t="shared" si="1"/>
        <v>26446</v>
      </c>
      <c r="G30" s="267">
        <f t="shared" si="1"/>
        <v>35016</v>
      </c>
      <c r="H30" s="462">
        <f t="shared" si="1"/>
        <v>1.0000000000000002</v>
      </c>
    </row>
    <row r="31" spans="1:8">
      <c r="A31" s="229"/>
      <c r="B31" s="230"/>
      <c r="C31" s="231"/>
      <c r="D31" s="231"/>
      <c r="E31" s="231"/>
      <c r="F31" s="231"/>
      <c r="G31" s="231"/>
    </row>
    <row r="32" spans="1:8">
      <c r="A32" s="81" t="s">
        <v>100</v>
      </c>
      <c r="B32" s="81"/>
      <c r="C32" s="81"/>
      <c r="D32" s="81"/>
      <c r="E32" s="81"/>
      <c r="F32" s="233" t="s">
        <v>15</v>
      </c>
      <c r="G32" s="81"/>
    </row>
    <row r="33" spans="1:7">
      <c r="A33" s="591">
        <v>41404</v>
      </c>
      <c r="B33" s="591"/>
      <c r="C33" s="81"/>
      <c r="D33" s="81"/>
      <c r="E33" s="81"/>
      <c r="F33" s="233" t="s">
        <v>97</v>
      </c>
      <c r="G33" s="81"/>
    </row>
  </sheetData>
  <mergeCells count="8">
    <mergeCell ref="A33:B33"/>
    <mergeCell ref="A2:H2"/>
    <mergeCell ref="A3:C3"/>
    <mergeCell ref="C4:G4"/>
    <mergeCell ref="H4:H6"/>
    <mergeCell ref="C5:D5"/>
    <mergeCell ref="E5:F5"/>
    <mergeCell ref="G5:G6"/>
  </mergeCells>
  <pageMargins left="0.31496062992125984" right="0.31496062992125984"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κατά επαρχία και φύλο το 2014</vt:lpstr>
      <vt:lpstr>κατά επαρχία,  μήνα 2013,2014</vt:lpstr>
      <vt:lpstr>κατά φύλο, μήνα 2013,2014</vt:lpstr>
      <vt:lpstr>άνεργοι κατά μήνα 2007-2014</vt:lpstr>
      <vt:lpstr>δικ κατά μήν και κοιν 2013-2014</vt:lpstr>
      <vt:lpstr>δικ, ποσό πληρ. κατά μήνα 11-14</vt:lpstr>
      <vt:lpstr>άνεργοι κατά οικ. δραστ.1.2014</vt:lpstr>
      <vt:lpstr>άνεργοι κατά οικ. δραστ. 2.2014</vt:lpstr>
      <vt:lpstr>άνεργοι κατά οικ. δρστ. 3.2014</vt:lpstr>
      <vt:lpstr>άνεργοι κατά οικ. δραστ. 4.2014</vt:lpstr>
      <vt:lpstr>άνεργοι κατά οικ. δραστ. 5.2014</vt:lpstr>
      <vt:lpstr>άνεργοι κατά οικ. δρ. 6.2014</vt:lpstr>
      <vt:lpstr>άνεργοι κατά οικ. δρ. 7.2014</vt:lpstr>
      <vt:lpstr>άνεργοι κατά οικ. δρ. 8.14</vt:lpstr>
      <vt:lpstr>ανεργοι κατά οικ. δρ.9.14</vt:lpstr>
      <vt:lpstr>ανεργοι κατά οικ. δρ.10.14</vt:lpstr>
      <vt:lpstr>ανεργοι κατά οικ. δρ.11.14</vt:lpstr>
      <vt:lpstr>ανεργοι κατά οικ. δρ.12.14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AdministratorStats</cp:lastModifiedBy>
  <cp:lastPrinted>2015-04-21T08:06:00Z</cp:lastPrinted>
  <dcterms:created xsi:type="dcterms:W3CDTF">1999-12-20T10:51:55Z</dcterms:created>
  <dcterms:modified xsi:type="dcterms:W3CDTF">2015-04-21T08:07:05Z</dcterms:modified>
</cp:coreProperties>
</file>