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2240" windowHeight="9240" firstSheet="1" activeTab="3"/>
  </bookViews>
  <sheets>
    <sheet name="122018" sheetId="20" r:id="rId1"/>
    <sheet name="122019" sheetId="22" r:id="rId2"/>
    <sheet name="ANK122019" sheetId="23" r:id="rId3"/>
    <sheet name="122020" sheetId="24" r:id="rId4"/>
    <sheet name="ANK122020" sheetId="25" r:id="rId5"/>
  </sheets>
  <definedNames>
    <definedName name="_xlnm.Print_Area" localSheetId="4">'ANK122020'!$A$1:$K$36</definedName>
  </definedNames>
  <calcPr calcId="124519"/>
</workbook>
</file>

<file path=xl/calcChain.xml><?xml version="1.0" encoding="utf-8"?>
<calcChain xmlns="http://schemas.openxmlformats.org/spreadsheetml/2006/main">
  <c r="I28" i="25"/>
  <c r="I27"/>
  <c r="I26"/>
  <c r="I22"/>
  <c r="I21"/>
  <c r="I20"/>
  <c r="I18"/>
  <c r="I16"/>
  <c r="I15"/>
  <c r="I14"/>
  <c r="I13"/>
  <c r="I12"/>
  <c r="I10"/>
  <c r="I9"/>
  <c r="I8"/>
  <c r="I7"/>
  <c r="I6"/>
  <c r="G28"/>
  <c r="G27"/>
  <c r="G26"/>
  <c r="G24"/>
  <c r="G22"/>
  <c r="G21"/>
  <c r="G20"/>
  <c r="G19"/>
  <c r="G18"/>
  <c r="G16"/>
  <c r="G15"/>
  <c r="G14"/>
  <c r="G13"/>
  <c r="G12"/>
  <c r="G10"/>
  <c r="G9"/>
  <c r="G8"/>
  <c r="G7"/>
  <c r="G6"/>
  <c r="E28"/>
  <c r="E27"/>
  <c r="E26"/>
  <c r="E22"/>
  <c r="E21"/>
  <c r="E20"/>
  <c r="E19"/>
  <c r="E18"/>
  <c r="E16"/>
  <c r="E15"/>
  <c r="E14"/>
  <c r="E13"/>
  <c r="E12"/>
  <c r="E10"/>
  <c r="E9"/>
  <c r="E8"/>
  <c r="E7"/>
  <c r="E6"/>
  <c r="C19"/>
  <c r="C20"/>
  <c r="C21"/>
  <c r="C22"/>
  <c r="C18"/>
  <c r="C16"/>
  <c r="C15"/>
  <c r="C14"/>
  <c r="C13"/>
  <c r="C12"/>
  <c r="C6"/>
  <c r="C10" l="1"/>
  <c r="C9"/>
  <c r="C8"/>
  <c r="C7"/>
  <c r="E27" i="24"/>
  <c r="E26"/>
  <c r="E25"/>
  <c r="E24"/>
  <c r="D28"/>
  <c r="D27"/>
  <c r="D26"/>
  <c r="D25"/>
  <c r="D24"/>
  <c r="C28"/>
  <c r="C27"/>
  <c r="C26"/>
  <c r="C25"/>
  <c r="C24"/>
  <c r="E22"/>
  <c r="E21"/>
  <c r="E20"/>
  <c r="E19"/>
  <c r="E18"/>
  <c r="D22"/>
  <c r="D21"/>
  <c r="D20"/>
  <c r="D19"/>
  <c r="D18"/>
  <c r="C22"/>
  <c r="C21"/>
  <c r="C20"/>
  <c r="C19"/>
  <c r="C18"/>
  <c r="E16"/>
  <c r="E15"/>
  <c r="E14"/>
  <c r="E13"/>
  <c r="E12"/>
  <c r="D16"/>
  <c r="D15"/>
  <c r="D14"/>
  <c r="D13"/>
  <c r="D12"/>
  <c r="C16"/>
  <c r="C15"/>
  <c r="C14"/>
  <c r="C13"/>
  <c r="C12"/>
  <c r="E10"/>
  <c r="E9"/>
  <c r="E8"/>
  <c r="E7"/>
  <c r="E6"/>
  <c r="D10"/>
  <c r="D9"/>
  <c r="D8"/>
  <c r="D7"/>
  <c r="D6"/>
  <c r="C10"/>
  <c r="C9"/>
  <c r="C8"/>
  <c r="C7"/>
  <c r="C6"/>
  <c r="G29" i="25" l="1"/>
  <c r="E29"/>
  <c r="C29"/>
  <c r="I29"/>
  <c r="I23"/>
  <c r="G23"/>
  <c r="C23"/>
  <c r="E23"/>
  <c r="C17"/>
  <c r="I17"/>
  <c r="G17"/>
  <c r="E17"/>
  <c r="E11"/>
  <c r="C11"/>
  <c r="G11"/>
  <c r="I11"/>
  <c r="E29" i="24"/>
  <c r="F28"/>
  <c r="F27"/>
  <c r="D29"/>
  <c r="F26"/>
  <c r="F25"/>
  <c r="F24"/>
  <c r="C29"/>
  <c r="D23"/>
  <c r="F22"/>
  <c r="F21"/>
  <c r="E23"/>
  <c r="F20"/>
  <c r="F19"/>
  <c r="F18"/>
  <c r="E17"/>
  <c r="F16"/>
  <c r="F15"/>
  <c r="F14"/>
  <c r="F13"/>
  <c r="F12"/>
  <c r="D17"/>
  <c r="C17"/>
  <c r="F10"/>
  <c r="F9"/>
  <c r="E11"/>
  <c r="F8"/>
  <c r="D11"/>
  <c r="F7"/>
  <c r="C11"/>
  <c r="G30" i="25" l="1"/>
  <c r="C30"/>
  <c r="J29"/>
  <c r="I30"/>
  <c r="E30" i="24"/>
  <c r="D30"/>
  <c r="E30" i="25"/>
  <c r="J17"/>
  <c r="J23"/>
  <c r="J11"/>
  <c r="F11" i="24"/>
  <c r="F17"/>
  <c r="F29"/>
  <c r="C23"/>
  <c r="F23" s="1"/>
  <c r="F6"/>
  <c r="I12" i="23"/>
  <c r="I6"/>
  <c r="G12"/>
  <c r="E18"/>
  <c r="E12"/>
  <c r="I28"/>
  <c r="I29" s="1"/>
  <c r="I27"/>
  <c r="I26"/>
  <c r="E26"/>
  <c r="E21"/>
  <c r="E23" s="1"/>
  <c r="I20"/>
  <c r="G20"/>
  <c r="G23" s="1"/>
  <c r="E20"/>
  <c r="I16"/>
  <c r="G16"/>
  <c r="E16"/>
  <c r="I15"/>
  <c r="G15"/>
  <c r="E15"/>
  <c r="E17" s="1"/>
  <c r="I14"/>
  <c r="G14"/>
  <c r="I10"/>
  <c r="G10"/>
  <c r="E10"/>
  <c r="E11" s="1"/>
  <c r="I9"/>
  <c r="G9"/>
  <c r="E9"/>
  <c r="G29"/>
  <c r="E29"/>
  <c r="C29"/>
  <c r="I23"/>
  <c r="C23"/>
  <c r="C17"/>
  <c r="C11"/>
  <c r="J30" i="25" l="1"/>
  <c r="C30" i="24"/>
  <c r="F30" s="1"/>
  <c r="I17" i="23"/>
  <c r="G17"/>
  <c r="J17" s="1"/>
  <c r="C30"/>
  <c r="E30"/>
  <c r="I11"/>
  <c r="I30" s="1"/>
  <c r="G11"/>
  <c r="G30" s="1"/>
  <c r="J29"/>
  <c r="J23"/>
  <c r="J30" l="1"/>
  <c r="J11"/>
  <c r="E23" i="22"/>
  <c r="E20"/>
  <c r="E15"/>
  <c r="E14"/>
  <c r="E10"/>
  <c r="E9"/>
  <c r="E8"/>
  <c r="D27"/>
  <c r="D26"/>
  <c r="D21"/>
  <c r="D20"/>
  <c r="D18"/>
  <c r="D15"/>
  <c r="D14"/>
  <c r="D12"/>
  <c r="D11"/>
  <c r="D10"/>
  <c r="D9"/>
  <c r="D8"/>
  <c r="D7"/>
  <c r="D6"/>
  <c r="C27"/>
  <c r="C26"/>
  <c r="C25"/>
  <c r="C24"/>
  <c r="C22"/>
  <c r="C21"/>
  <c r="C20"/>
  <c r="C19"/>
  <c r="C18"/>
  <c r="C16"/>
  <c r="C15"/>
  <c r="C14"/>
  <c r="C13"/>
  <c r="C12"/>
  <c r="C10"/>
  <c r="C9"/>
  <c r="C8"/>
  <c r="C7"/>
  <c r="C6"/>
  <c r="E29" l="1"/>
  <c r="D29"/>
  <c r="C29"/>
  <c r="F28"/>
  <c r="F27"/>
  <c r="F26"/>
  <c r="F25"/>
  <c r="F24"/>
  <c r="D23"/>
  <c r="C23"/>
  <c r="F22"/>
  <c r="F21"/>
  <c r="F20"/>
  <c r="F19"/>
  <c r="F18"/>
  <c r="E17"/>
  <c r="D17"/>
  <c r="D30" s="1"/>
  <c r="C17"/>
  <c r="F16"/>
  <c r="F15"/>
  <c r="F14"/>
  <c r="F13"/>
  <c r="F12"/>
  <c r="E11"/>
  <c r="C11"/>
  <c r="F10"/>
  <c r="F9"/>
  <c r="F8"/>
  <c r="F7"/>
  <c r="F6"/>
  <c r="F23" l="1"/>
  <c r="F11"/>
  <c r="F29"/>
  <c r="E30"/>
  <c r="F17"/>
  <c r="C30"/>
  <c r="D29" i="20"/>
  <c r="F30" i="22" l="1"/>
  <c r="C11" i="20"/>
  <c r="E29"/>
  <c r="C29"/>
  <c r="F28"/>
  <c r="F27"/>
  <c r="F26"/>
  <c r="F25"/>
  <c r="F24"/>
  <c r="E23"/>
  <c r="D23"/>
  <c r="C23"/>
  <c r="F22"/>
  <c r="F21"/>
  <c r="F20"/>
  <c r="F19"/>
  <c r="F18"/>
  <c r="E17"/>
  <c r="D17"/>
  <c r="F16"/>
  <c r="F15"/>
  <c r="F14"/>
  <c r="F13"/>
  <c r="C17"/>
  <c r="E11"/>
  <c r="D11"/>
  <c r="F10"/>
  <c r="F9"/>
  <c r="F8"/>
  <c r="F7"/>
  <c r="F17" l="1"/>
  <c r="F11"/>
  <c r="F6"/>
  <c r="F29"/>
  <c r="E30"/>
  <c r="F23"/>
  <c r="D30"/>
  <c r="C30"/>
  <c r="F12"/>
  <c r="F30" l="1"/>
</calcChain>
</file>

<file path=xl/sharedStrings.xml><?xml version="1.0" encoding="utf-8"?>
<sst xmlns="http://schemas.openxmlformats.org/spreadsheetml/2006/main" count="326" uniqueCount="190">
  <si>
    <t>Ομάδα ποσού</t>
  </si>
  <si>
    <t>Σύνολο</t>
  </si>
  <si>
    <t>Συνταξιούχοι με 0 εξαρτώμενα</t>
  </si>
  <si>
    <t>Συνταξιούχοι με 1 εξαρτώμενα</t>
  </si>
  <si>
    <t>Συνταξιούχοι με 2 εξαρτώμενα</t>
  </si>
  <si>
    <t>Συνταξιούχοι με 3+ εξαρτώμενα</t>
  </si>
  <si>
    <t>Είδος Σύνταξης</t>
  </si>
  <si>
    <t>Σύνταξη Χηρείας και Θανάτου</t>
  </si>
  <si>
    <t>Σύνταξη Αναπηρίας</t>
  </si>
  <si>
    <t>ΚΛΑΔΟΣ ΣΤΑΤΙΣΤΙΚΗΣ</t>
  </si>
  <si>
    <t>ΥΠΗΡΕΣΙΕΣ ΚΟΙΝΩΝΙΚΩΝ ΑΣΦΑΛΙΣΕΩΝ</t>
  </si>
  <si>
    <t xml:space="preserve">Θεσμοθετημένη Σύνταξη </t>
  </si>
  <si>
    <t>418,52-837,02</t>
  </si>
  <si>
    <t>837,03-1255,53</t>
  </si>
  <si>
    <t>&gt;1255,53</t>
  </si>
  <si>
    <t>558,03-1116,04</t>
  </si>
  <si>
    <t>1116,05-1674,06</t>
  </si>
  <si>
    <t>&gt;1674,06</t>
  </si>
  <si>
    <t>627,78-1255,54</t>
  </si>
  <si>
    <t>1255,55-1883,31</t>
  </si>
  <si>
    <t>&gt;1883,31</t>
  </si>
  <si>
    <t>697,53-1395,04</t>
  </si>
  <si>
    <t>1395,05-2092,56</t>
  </si>
  <si>
    <t>&gt;2092,56</t>
  </si>
  <si>
    <t>tables from sas: ext_g1b3_2018</t>
  </si>
  <si>
    <t xml:space="preserve"> 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- Δεκέμβριος 2018</t>
  </si>
  <si>
    <t>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12/2018</t>
  </si>
  <si>
    <t>0-355,74</t>
  </si>
  <si>
    <t>355,75-418,51</t>
  </si>
  <si>
    <t>0-474,31</t>
  </si>
  <si>
    <t>474,32-558,02</t>
  </si>
  <si>
    <t>0-533,60</t>
  </si>
  <si>
    <t>533,61-627,77</t>
  </si>
  <si>
    <t>0-592,89</t>
  </si>
  <si>
    <t>592,90-697,52</t>
  </si>
  <si>
    <t xml:space="preserve"> 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- Δεκέμβριος 2019</t>
  </si>
  <si>
    <t>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12/2019</t>
  </si>
  <si>
    <t>tables from sas: ext_g1b3_2019</t>
  </si>
  <si>
    <t>0-357,11</t>
  </si>
  <si>
    <t>357,12-420,26</t>
  </si>
  <si>
    <t>420,27-840,53</t>
  </si>
  <si>
    <t>840,54-1260,79</t>
  </si>
  <si>
    <t>&gt;1260,79</t>
  </si>
  <si>
    <t>0-476,19</t>
  </si>
  <si>
    <t>476,20-560,35</t>
  </si>
  <si>
    <t>560,36-1120,70</t>
  </si>
  <si>
    <t>1120,71-1681,06</t>
  </si>
  <si>
    <t>&gt;1681,06</t>
  </si>
  <si>
    <t>0-535,73</t>
  </si>
  <si>
    <t>535,74-630,40</t>
  </si>
  <si>
    <t>630,41-1260,79</t>
  </si>
  <si>
    <t>1260,80-1891,19</t>
  </si>
  <si>
    <t>&gt;1891,19</t>
  </si>
  <si>
    <t>0-595,26</t>
  </si>
  <si>
    <t>595,27-700,44</t>
  </si>
  <si>
    <t>700,45-1400,88</t>
  </si>
  <si>
    <t>1400,89-2101,32</t>
  </si>
  <si>
    <t>&gt;2101,32</t>
  </si>
  <si>
    <t xml:space="preserve">Ομάδα ποσού για 60% ανικανότητα </t>
  </si>
  <si>
    <t>Αριθμός συνταξιούχων</t>
  </si>
  <si>
    <t xml:space="preserve">Ομάδα ποσού για 75% ανικανότητα </t>
  </si>
  <si>
    <t xml:space="preserve">Ομάδα ποσού για 85% ανικανότητα </t>
  </si>
  <si>
    <t xml:space="preserve">Ομάδα ποσού για 100% ανικανότητα </t>
  </si>
  <si>
    <t>0-214,22</t>
  </si>
  <si>
    <t>0-267,81</t>
  </si>
  <si>
    <t>0-303,53</t>
  </si>
  <si>
    <t>214,23-252,16</t>
  </si>
  <si>
    <t>267,82-315,20</t>
  </si>
  <si>
    <t>303,54-357,22</t>
  </si>
  <si>
    <t>252,17-504,32</t>
  </si>
  <si>
    <t>315,21-630,40</t>
  </si>
  <si>
    <t>357,23-714,45</t>
  </si>
  <si>
    <t>504,33-756,48</t>
  </si>
  <si>
    <t>630,41-945,59</t>
  </si>
  <si>
    <t>714,46-1071,67</t>
  </si>
  <si>
    <t>&gt;756,48</t>
  </si>
  <si>
    <t>&gt;945,59</t>
  </si>
  <si>
    <t>&gt;1071,67</t>
  </si>
  <si>
    <t>0-285,67</t>
  </si>
  <si>
    <t>0-404,74</t>
  </si>
  <si>
    <t>285,68-336,21</t>
  </si>
  <si>
    <t>404,75-476,30</t>
  </si>
  <si>
    <t>336,22-672,42</t>
  </si>
  <si>
    <t>476,31-952,60</t>
  </si>
  <si>
    <t>672,43-1008,63</t>
  </si>
  <si>
    <t>952,61-1428,90</t>
  </si>
  <si>
    <t>&gt;1008,63</t>
  </si>
  <si>
    <t>&gt;1428,90</t>
  </si>
  <si>
    <t>0-321,39</t>
  </si>
  <si>
    <t>0-401,77</t>
  </si>
  <si>
    <t>0-455,35</t>
  </si>
  <si>
    <t>321,40-378-24</t>
  </si>
  <si>
    <t>401,78-472,80</t>
  </si>
  <si>
    <t>455,36-535,84</t>
  </si>
  <si>
    <t>378,25-756,48</t>
  </si>
  <si>
    <t>472,81-945,59</t>
  </si>
  <si>
    <t>535,85-1071,67</t>
  </si>
  <si>
    <t>756,49-1134,71</t>
  </si>
  <si>
    <t>945,60-1418,39</t>
  </si>
  <si>
    <t>1071,68-1607,51</t>
  </si>
  <si>
    <t>&gt;1134,71</t>
  </si>
  <si>
    <t>&gt;1418,39</t>
  </si>
  <si>
    <t>&gt;1607,51</t>
  </si>
  <si>
    <t>0-446,42</t>
  </si>
  <si>
    <t>0-505,96</t>
  </si>
  <si>
    <t>446,43-525,33</t>
  </si>
  <si>
    <t>505,97-595,37</t>
  </si>
  <si>
    <t>525,34-1050,66</t>
  </si>
  <si>
    <t>595,38-1190,75</t>
  </si>
  <si>
    <t>1050,67-1575,99</t>
  </si>
  <si>
    <t>1190,76-1786,12</t>
  </si>
  <si>
    <t>&gt;1575,99</t>
  </si>
  <si>
    <t>&gt;1786,12</t>
  </si>
  <si>
    <t xml:space="preserve"> Αριθμός συνταξιούχων ανικανότητας χωρίς επιμερισμό κατά ποσοστό ανικανότητας, ομάδα ποσού και αριθμό εξαρτωμένων - Δεκέμβριος 2019</t>
  </si>
  <si>
    <t>Αριθμός συνταξιούχων ανικανότητας χωρίς επιμερισμό κατά ποσοστό ανικανότητας, ομάδα ποσού και αριθμό εξαρτωμένων 12/2019</t>
  </si>
  <si>
    <t xml:space="preserve"> 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- Δεκέμβριος 2020</t>
  </si>
  <si>
    <t>Αριθμός συνταξιούχων (θεσμοθετημένης σύνταξης, σύνταξης χηρείας και αναπηρίας) χωρίς επιμερισμό κατά είδος σύνταξης, ομάδα ποσού και αριθμό εξαρτωμένων 12/2020</t>
  </si>
  <si>
    <t>tables from sas: ext_g1b3_2020</t>
  </si>
  <si>
    <t xml:space="preserve"> Αριθμός συνταξιούχων ανικανότητας χωρίς επιμερισμό κατά ποσοστό ανικανότητας, ομάδα ποσού και αριθμό εξαρτωμένων - Δεκέμβριος 2020</t>
  </si>
  <si>
    <t>Αριθμός συνταξιούχων ανικανότητας χωρίς επιμερισμό κατά ποσοστό ανικανότητας, ομάδα ποσού και αριθμό εξαρτωμένων 12/2020</t>
  </si>
  <si>
    <t>0-358,73</t>
  </si>
  <si>
    <t>358,74-422,16</t>
  </si>
  <si>
    <t>422,17-844,32</t>
  </si>
  <si>
    <t>844,33-1266,48</t>
  </si>
  <si>
    <t>&gt;1266,48</t>
  </si>
  <si>
    <t>0-538,14</t>
  </si>
  <si>
    <t>538,15-633,24</t>
  </si>
  <si>
    <t>633,25-1266,48</t>
  </si>
  <si>
    <t>1266,49-1899,72</t>
  </si>
  <si>
    <t>&gt;1899,72</t>
  </si>
  <si>
    <t>0-478,34</t>
  </si>
  <si>
    <t>478,35-562,88</t>
  </si>
  <si>
    <t>562,89-1125,76</t>
  </si>
  <si>
    <t>1125,77-1688,64</t>
  </si>
  <si>
    <t>&gt;1688,64</t>
  </si>
  <si>
    <t>0-597,95</t>
  </si>
  <si>
    <t>597,95-703,60</t>
  </si>
  <si>
    <t>703,61-1407,20</t>
  </si>
  <si>
    <t>1407,21-2110,80</t>
  </si>
  <si>
    <t>&gt;2110,80</t>
  </si>
  <si>
    <t>0-215,19</t>
  </si>
  <si>
    <t>215,20-253,30</t>
  </si>
  <si>
    <t>253,31-506,59</t>
  </si>
  <si>
    <t>506,60-759,89</t>
  </si>
  <si>
    <t>&gt;759,89</t>
  </si>
  <si>
    <t>0-286,96</t>
  </si>
  <si>
    <t>286,97-337,73</t>
  </si>
  <si>
    <t>337,74-675,46</t>
  </si>
  <si>
    <t>675,47-1013,18</t>
  </si>
  <si>
    <t>&gt;1013,18</t>
  </si>
  <si>
    <t>0-322,84</t>
  </si>
  <si>
    <t>322,85-379,94</t>
  </si>
  <si>
    <t>379,95-759,89</t>
  </si>
  <si>
    <t>759,90-1139,83</t>
  </si>
  <si>
    <t>&gt;1139,83</t>
  </si>
  <si>
    <t>0-269,02</t>
  </si>
  <si>
    <t>269,03-316,62</t>
  </si>
  <si>
    <t>316,63-633,24</t>
  </si>
  <si>
    <t>633,25-949,86</t>
  </si>
  <si>
    <t>&gt;949,86</t>
  </si>
  <si>
    <t>0-403,58</t>
  </si>
  <si>
    <t>403,59-474,93</t>
  </si>
  <si>
    <t>474,94-949,86</t>
  </si>
  <si>
    <t>949,87-1424,79</t>
  </si>
  <si>
    <t>&gt;1424,79</t>
  </si>
  <si>
    <t>0-448,44</t>
  </si>
  <si>
    <t>448,45-527,70</t>
  </si>
  <si>
    <t>527,71-1055,40</t>
  </si>
  <si>
    <t>1055,41-1583,10</t>
  </si>
  <si>
    <t>&gt;1583,10</t>
  </si>
  <si>
    <t>0-304,90</t>
  </si>
  <si>
    <t>304,91-358,84</t>
  </si>
  <si>
    <t>358,85-717,67</t>
  </si>
  <si>
    <t>717,68-1076,51</t>
  </si>
  <si>
    <t>&gt;1076,51</t>
  </si>
  <si>
    <t>0-406,57</t>
  </si>
  <si>
    <t>406,58-478,45</t>
  </si>
  <si>
    <t>478,46-956,90</t>
  </si>
  <si>
    <t>956,91-1435,34</t>
  </si>
  <si>
    <t>&gt;1435,34</t>
  </si>
  <si>
    <t>0-457,41</t>
  </si>
  <si>
    <t>457,42-538,25</t>
  </si>
  <si>
    <t>538,26-1076,51</t>
  </si>
  <si>
    <t>1076,52-1614,76</t>
  </si>
  <si>
    <t>&gt;1614,76</t>
  </si>
  <si>
    <t>0-508,24</t>
  </si>
  <si>
    <t>508,25-598,06</t>
  </si>
  <si>
    <t>598,07-1196,12</t>
  </si>
  <si>
    <t>1196,13-1794,18</t>
  </si>
  <si>
    <t>&gt;1794,18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</si>
</sst>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0">
    <font>
      <sz val="10"/>
      <name val="Arial"/>
      <charset val="161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161"/>
    </font>
    <font>
      <b/>
      <u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 applyAlignment="1">
      <alignment vertical="top" wrapText="1"/>
    </xf>
    <xf numFmtId="0" fontId="2" fillId="0" borderId="9" xfId="0" applyFont="1" applyBorder="1"/>
    <xf numFmtId="0" fontId="2" fillId="0" borderId="8" xfId="0" applyFont="1" applyBorder="1"/>
    <xf numFmtId="0" fontId="5" fillId="0" borderId="3" xfId="0" applyFont="1" applyBorder="1"/>
    <xf numFmtId="0" fontId="1" fillId="0" borderId="3" xfId="0" applyFont="1" applyBorder="1"/>
    <xf numFmtId="0" fontId="1" fillId="0" borderId="10" xfId="0" applyFont="1" applyBorder="1"/>
    <xf numFmtId="0" fontId="2" fillId="0" borderId="0" xfId="0" applyFont="1" applyAlignment="1">
      <alignment horizontal="center"/>
    </xf>
    <xf numFmtId="0" fontId="5" fillId="0" borderId="9" xfId="0" applyFont="1" applyFill="1" applyBorder="1"/>
    <xf numFmtId="0" fontId="5" fillId="0" borderId="3" xfId="0" applyFont="1" applyFill="1" applyBorder="1"/>
    <xf numFmtId="0" fontId="2" fillId="0" borderId="0" xfId="0" applyFont="1" applyAlignment="1">
      <alignment horizontal="center"/>
    </xf>
    <xf numFmtId="0" fontId="5" fillId="0" borderId="9" xfId="0" applyFont="1" applyBorder="1"/>
    <xf numFmtId="0" fontId="2" fillId="0" borderId="0" xfId="0" applyFont="1" applyAlignment="1">
      <alignment horizontal="center"/>
    </xf>
    <xf numFmtId="0" fontId="9" fillId="0" borderId="9" xfId="0" applyFont="1" applyBorder="1"/>
    <xf numFmtId="0" fontId="9" fillId="0" borderId="3" xfId="0" applyFont="1" applyBorder="1"/>
    <xf numFmtId="0" fontId="7" fillId="0" borderId="3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5" xfId="0" applyFont="1" applyBorder="1"/>
    <xf numFmtId="0" fontId="8" fillId="0" borderId="5" xfId="0" applyFont="1" applyBorder="1"/>
    <xf numFmtId="0" fontId="8" fillId="0" borderId="11" xfId="0" applyFont="1" applyBorder="1"/>
    <xf numFmtId="0" fontId="7" fillId="0" borderId="16" xfId="0" applyFont="1" applyBorder="1"/>
    <xf numFmtId="0" fontId="0" fillId="0" borderId="2" xfId="0" applyBorder="1"/>
    <xf numFmtId="0" fontId="7" fillId="0" borderId="2" xfId="0" applyFont="1" applyBorder="1"/>
    <xf numFmtId="0" fontId="8" fillId="0" borderId="15" xfId="0" applyFont="1" applyBorder="1"/>
    <xf numFmtId="0" fontId="7" fillId="0" borderId="0" xfId="0" applyFont="1" applyBorder="1"/>
    <xf numFmtId="0" fontId="0" fillId="0" borderId="0" xfId="0" applyBorder="1"/>
    <xf numFmtId="0" fontId="8" fillId="0" borderId="0" xfId="0" applyFont="1" applyBorder="1"/>
    <xf numFmtId="0" fontId="9" fillId="0" borderId="0" xfId="0" applyFont="1" applyAlignment="1"/>
    <xf numFmtId="0" fontId="0" fillId="0" borderId="0" xfId="0" applyAlignment="1"/>
    <xf numFmtId="164" fontId="0" fillId="0" borderId="0" xfId="0" applyNumberFormat="1" applyAlignment="1">
      <alignment horizontal="left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9" fillId="0" borderId="0" xfId="0" applyFont="1" applyBorder="1" applyAlignment="1"/>
    <xf numFmtId="0" fontId="0" fillId="0" borderId="0" xfId="0" applyBorder="1" applyAlignment="1"/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19" xfId="0" applyFont="1" applyBorder="1"/>
    <xf numFmtId="0" fontId="0" fillId="0" borderId="19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C4" sqref="C4:C5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2" t="s">
        <v>25</v>
      </c>
      <c r="B1" s="43"/>
      <c r="C1" s="43"/>
      <c r="D1" s="43"/>
      <c r="E1" s="43"/>
      <c r="F1" s="43"/>
    </row>
    <row r="2" spans="1:6" ht="12.75" thickBot="1"/>
    <row r="3" spans="1:6">
      <c r="A3" s="44"/>
      <c r="B3" s="47" t="s">
        <v>0</v>
      </c>
      <c r="C3" s="50" t="s">
        <v>6</v>
      </c>
      <c r="D3" s="50"/>
      <c r="E3" s="50"/>
      <c r="F3" s="51" t="s">
        <v>1</v>
      </c>
    </row>
    <row r="4" spans="1:6" ht="12" customHeight="1">
      <c r="A4" s="45"/>
      <c r="B4" s="48"/>
      <c r="C4" s="54" t="s">
        <v>11</v>
      </c>
      <c r="D4" s="54" t="s">
        <v>7</v>
      </c>
      <c r="E4" s="54" t="s">
        <v>8</v>
      </c>
      <c r="F4" s="52"/>
    </row>
    <row r="5" spans="1:6" ht="37.5" customHeight="1" thickBot="1">
      <c r="A5" s="46"/>
      <c r="B5" s="49"/>
      <c r="C5" s="55"/>
      <c r="D5" s="55"/>
      <c r="E5" s="55"/>
      <c r="F5" s="53"/>
    </row>
    <row r="6" spans="1:6">
      <c r="A6" s="57" t="s">
        <v>2</v>
      </c>
      <c r="B6" s="18" t="s">
        <v>27</v>
      </c>
      <c r="C6" s="12">
        <v>14220</v>
      </c>
      <c r="D6" s="12">
        <v>3176</v>
      </c>
      <c r="E6" s="12">
        <v>0</v>
      </c>
      <c r="F6" s="13">
        <f t="shared" ref="F6:F30" si="0">SUM(C6:E6)</f>
        <v>17396</v>
      </c>
    </row>
    <row r="7" spans="1:6">
      <c r="A7" s="58"/>
      <c r="B7" s="19" t="s">
        <v>28</v>
      </c>
      <c r="C7" s="4">
        <v>13418</v>
      </c>
      <c r="D7" s="4">
        <v>4100</v>
      </c>
      <c r="E7" s="4">
        <v>19</v>
      </c>
      <c r="F7" s="5">
        <f t="shared" si="0"/>
        <v>17537</v>
      </c>
    </row>
    <row r="8" spans="1:6">
      <c r="A8" s="58"/>
      <c r="B8" s="14" t="s">
        <v>12</v>
      </c>
      <c r="C8" s="4">
        <v>31127</v>
      </c>
      <c r="D8" s="4">
        <v>18327</v>
      </c>
      <c r="E8" s="4">
        <v>85</v>
      </c>
      <c r="F8" s="5">
        <f t="shared" si="0"/>
        <v>49539</v>
      </c>
    </row>
    <row r="9" spans="1:6">
      <c r="A9" s="58"/>
      <c r="B9" s="14" t="s">
        <v>13</v>
      </c>
      <c r="C9" s="4">
        <v>13614</v>
      </c>
      <c r="D9" s="4">
        <v>2069</v>
      </c>
      <c r="E9" s="4">
        <v>25</v>
      </c>
      <c r="F9" s="5">
        <f t="shared" si="0"/>
        <v>15708</v>
      </c>
    </row>
    <row r="10" spans="1:6">
      <c r="A10" s="58"/>
      <c r="B10" s="14" t="s">
        <v>14</v>
      </c>
      <c r="C10" s="4">
        <v>9900</v>
      </c>
      <c r="D10" s="4">
        <v>125</v>
      </c>
      <c r="E10" s="4">
        <v>6</v>
      </c>
      <c r="F10" s="5">
        <f t="shared" si="0"/>
        <v>10031</v>
      </c>
    </row>
    <row r="11" spans="1:6">
      <c r="A11" s="58"/>
      <c r="B11" s="15" t="s">
        <v>1</v>
      </c>
      <c r="C11" s="15">
        <f>SUM(C6:C10)</f>
        <v>82279</v>
      </c>
      <c r="D11" s="15">
        <f>SUM(D6:D10)</f>
        <v>27797</v>
      </c>
      <c r="E11" s="15">
        <f>SUM(E6:E10)</f>
        <v>135</v>
      </c>
      <c r="F11" s="16">
        <f t="shared" si="0"/>
        <v>110211</v>
      </c>
    </row>
    <row r="12" spans="1:6">
      <c r="A12" s="58" t="s">
        <v>3</v>
      </c>
      <c r="B12" s="19" t="s">
        <v>29</v>
      </c>
      <c r="C12" s="4">
        <v>988</v>
      </c>
      <c r="D12" s="4">
        <v>111</v>
      </c>
      <c r="E12" s="4">
        <v>0</v>
      </c>
      <c r="F12" s="5">
        <f t="shared" si="0"/>
        <v>1099</v>
      </c>
    </row>
    <row r="13" spans="1:6">
      <c r="A13" s="58"/>
      <c r="B13" s="19" t="s">
        <v>30</v>
      </c>
      <c r="C13" s="4">
        <v>4363</v>
      </c>
      <c r="D13" s="4">
        <v>112</v>
      </c>
      <c r="E13" s="4">
        <v>14</v>
      </c>
      <c r="F13" s="5">
        <f t="shared" si="0"/>
        <v>4489</v>
      </c>
    </row>
    <row r="14" spans="1:6">
      <c r="A14" s="58"/>
      <c r="B14" s="14" t="s">
        <v>15</v>
      </c>
      <c r="C14" s="4">
        <v>11603</v>
      </c>
      <c r="D14" s="4">
        <v>458</v>
      </c>
      <c r="E14" s="4">
        <v>62</v>
      </c>
      <c r="F14" s="5">
        <f t="shared" si="0"/>
        <v>12123</v>
      </c>
    </row>
    <row r="15" spans="1:6">
      <c r="A15" s="58"/>
      <c r="B15" s="14" t="s">
        <v>16</v>
      </c>
      <c r="C15" s="4">
        <v>4901</v>
      </c>
      <c r="D15" s="4">
        <v>90</v>
      </c>
      <c r="E15" s="4">
        <v>16</v>
      </c>
      <c r="F15" s="5">
        <f t="shared" si="0"/>
        <v>5007</v>
      </c>
    </row>
    <row r="16" spans="1:6">
      <c r="A16" s="58"/>
      <c r="B16" s="14" t="s">
        <v>17</v>
      </c>
      <c r="C16" s="4">
        <v>1331</v>
      </c>
      <c r="D16" s="4">
        <v>0</v>
      </c>
      <c r="E16" s="4">
        <v>3</v>
      </c>
      <c r="F16" s="5">
        <f t="shared" si="0"/>
        <v>1334</v>
      </c>
    </row>
    <row r="17" spans="1:6">
      <c r="A17" s="58"/>
      <c r="B17" s="15" t="s">
        <v>1</v>
      </c>
      <c r="C17" s="15">
        <f>SUM(C12:C16)</f>
        <v>23186</v>
      </c>
      <c r="D17" s="15">
        <f>SUM(D12:D16)</f>
        <v>771</v>
      </c>
      <c r="E17" s="15">
        <f>SUM(E12:E16)</f>
        <v>95</v>
      </c>
      <c r="F17" s="16">
        <f t="shared" si="0"/>
        <v>24052</v>
      </c>
    </row>
    <row r="18" spans="1:6">
      <c r="A18" s="58" t="s">
        <v>4</v>
      </c>
      <c r="B18" s="19" t="s">
        <v>31</v>
      </c>
      <c r="C18" s="4">
        <v>54</v>
      </c>
      <c r="D18" s="4">
        <v>34</v>
      </c>
      <c r="E18" s="4">
        <v>0</v>
      </c>
      <c r="F18" s="5">
        <f t="shared" si="0"/>
        <v>88</v>
      </c>
    </row>
    <row r="19" spans="1:6">
      <c r="A19" s="58"/>
      <c r="B19" s="19" t="s">
        <v>32</v>
      </c>
      <c r="C19" s="4">
        <v>80</v>
      </c>
      <c r="D19" s="4">
        <v>33</v>
      </c>
      <c r="E19" s="4">
        <v>1</v>
      </c>
      <c r="F19" s="5">
        <f t="shared" si="0"/>
        <v>114</v>
      </c>
    </row>
    <row r="20" spans="1:6">
      <c r="A20" s="58"/>
      <c r="B20" s="14" t="s">
        <v>18</v>
      </c>
      <c r="C20" s="4">
        <v>335</v>
      </c>
      <c r="D20" s="4">
        <v>150</v>
      </c>
      <c r="E20" s="4">
        <v>14</v>
      </c>
      <c r="F20" s="5">
        <f t="shared" si="0"/>
        <v>499</v>
      </c>
    </row>
    <row r="21" spans="1:6">
      <c r="A21" s="58"/>
      <c r="B21" s="14" t="s">
        <v>19</v>
      </c>
      <c r="C21" s="4">
        <v>160</v>
      </c>
      <c r="D21" s="4">
        <v>37</v>
      </c>
      <c r="E21" s="4">
        <v>2</v>
      </c>
      <c r="F21" s="5">
        <f t="shared" si="0"/>
        <v>199</v>
      </c>
    </row>
    <row r="22" spans="1:6">
      <c r="A22" s="58"/>
      <c r="B22" s="14" t="s">
        <v>20</v>
      </c>
      <c r="C22" s="4">
        <v>31</v>
      </c>
      <c r="D22" s="4">
        <v>0</v>
      </c>
      <c r="E22" s="4">
        <v>0</v>
      </c>
      <c r="F22" s="5">
        <f t="shared" si="0"/>
        <v>31</v>
      </c>
    </row>
    <row r="23" spans="1:6">
      <c r="A23" s="58"/>
      <c r="B23" s="15" t="s">
        <v>1</v>
      </c>
      <c r="C23" s="15">
        <f>SUM(C18:C22)</f>
        <v>660</v>
      </c>
      <c r="D23" s="15">
        <f>SUM(D18:D22)</f>
        <v>254</v>
      </c>
      <c r="E23" s="15">
        <f>SUM(E18:E22)</f>
        <v>17</v>
      </c>
      <c r="F23" s="16">
        <f t="shared" si="0"/>
        <v>931</v>
      </c>
    </row>
    <row r="24" spans="1:6">
      <c r="A24" s="58" t="s">
        <v>5</v>
      </c>
      <c r="B24" s="19" t="s">
        <v>33</v>
      </c>
      <c r="C24" s="4">
        <v>5</v>
      </c>
      <c r="D24" s="4">
        <v>6</v>
      </c>
      <c r="E24" s="4">
        <v>0</v>
      </c>
      <c r="F24" s="5">
        <f t="shared" si="0"/>
        <v>11</v>
      </c>
    </row>
    <row r="25" spans="1:6">
      <c r="A25" s="58"/>
      <c r="B25" s="19" t="s">
        <v>34</v>
      </c>
      <c r="C25" s="4">
        <v>8</v>
      </c>
      <c r="D25" s="4">
        <v>5</v>
      </c>
      <c r="E25" s="4">
        <v>4</v>
      </c>
      <c r="F25" s="5">
        <f t="shared" si="0"/>
        <v>17</v>
      </c>
    </row>
    <row r="26" spans="1:6">
      <c r="A26" s="58"/>
      <c r="B26" s="14" t="s">
        <v>21</v>
      </c>
      <c r="C26" s="4">
        <v>61</v>
      </c>
      <c r="D26" s="4">
        <v>47</v>
      </c>
      <c r="E26" s="4">
        <v>13</v>
      </c>
      <c r="F26" s="5">
        <f t="shared" si="0"/>
        <v>121</v>
      </c>
    </row>
    <row r="27" spans="1:6">
      <c r="A27" s="58"/>
      <c r="B27" s="14" t="s">
        <v>22</v>
      </c>
      <c r="C27" s="4">
        <v>27</v>
      </c>
      <c r="D27" s="4">
        <v>7</v>
      </c>
      <c r="E27" s="4">
        <v>0</v>
      </c>
      <c r="F27" s="5">
        <f t="shared" si="0"/>
        <v>34</v>
      </c>
    </row>
    <row r="28" spans="1:6">
      <c r="A28" s="58"/>
      <c r="B28" s="14" t="s">
        <v>23</v>
      </c>
      <c r="C28" s="4">
        <v>3</v>
      </c>
      <c r="D28" s="4">
        <v>0</v>
      </c>
      <c r="E28" s="4">
        <v>0</v>
      </c>
      <c r="F28" s="5">
        <f t="shared" si="0"/>
        <v>3</v>
      </c>
    </row>
    <row r="29" spans="1:6" ht="12.75" thickBot="1">
      <c r="A29" s="59"/>
      <c r="B29" s="6" t="s">
        <v>1</v>
      </c>
      <c r="C29" s="6">
        <f>SUM(C24:C28)</f>
        <v>104</v>
      </c>
      <c r="D29" s="6">
        <f>SUM(D24:D28)</f>
        <v>65</v>
      </c>
      <c r="E29" s="6">
        <f>SUM(E24:E28)</f>
        <v>17</v>
      </c>
      <c r="F29" s="7">
        <f t="shared" si="0"/>
        <v>186</v>
      </c>
    </row>
    <row r="30" spans="1:6" ht="12.75" thickBot="1">
      <c r="A30" s="11" t="s">
        <v>1</v>
      </c>
      <c r="B30" s="8"/>
      <c r="C30" s="9">
        <f>C11+C17+C23+C29</f>
        <v>106229</v>
      </c>
      <c r="D30" s="9">
        <f>D11+D17+D23+D29</f>
        <v>28887</v>
      </c>
      <c r="E30" s="9">
        <f>E11+E17+E23+E29</f>
        <v>264</v>
      </c>
      <c r="F30" s="10">
        <f t="shared" si="0"/>
        <v>135380</v>
      </c>
    </row>
    <row r="32" spans="1:6">
      <c r="D32" s="17"/>
      <c r="E32" s="17"/>
      <c r="F32" s="17"/>
    </row>
    <row r="33" spans="1:7" ht="24" customHeight="1">
      <c r="A33" s="60" t="s">
        <v>26</v>
      </c>
      <c r="B33" s="61"/>
      <c r="C33" s="61"/>
      <c r="D33" s="61"/>
      <c r="E33" s="61"/>
      <c r="F33" s="61"/>
      <c r="G33" s="17"/>
    </row>
    <row r="34" spans="1:7">
      <c r="A34" s="2">
        <v>43593</v>
      </c>
      <c r="F34" s="17"/>
      <c r="G34" s="17"/>
    </row>
    <row r="35" spans="1:7">
      <c r="A35" s="62" t="s">
        <v>24</v>
      </c>
      <c r="B35" s="62"/>
    </row>
    <row r="36" spans="1:7" ht="12.75" customHeight="1">
      <c r="C36" s="56" t="s">
        <v>9</v>
      </c>
      <c r="D36" s="56"/>
      <c r="E36" s="56"/>
      <c r="F36" s="56"/>
    </row>
    <row r="37" spans="1:7" ht="12.75" customHeight="1">
      <c r="C37" s="56" t="s">
        <v>10</v>
      </c>
      <c r="D37" s="56"/>
      <c r="E37" s="56"/>
      <c r="F37" s="56"/>
    </row>
    <row r="38" spans="1:7">
      <c r="A38" s="3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opLeftCell="A4" workbookViewId="0">
      <selection activeCell="C9" sqref="C9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2" t="s">
        <v>35</v>
      </c>
      <c r="B1" s="43"/>
      <c r="C1" s="43"/>
      <c r="D1" s="43"/>
      <c r="E1" s="43"/>
      <c r="F1" s="43"/>
    </row>
    <row r="2" spans="1:6" ht="12.75" thickBot="1"/>
    <row r="3" spans="1:6">
      <c r="A3" s="44"/>
      <c r="B3" s="47" t="s">
        <v>0</v>
      </c>
      <c r="C3" s="50" t="s">
        <v>6</v>
      </c>
      <c r="D3" s="50"/>
      <c r="E3" s="50"/>
      <c r="F3" s="51" t="s">
        <v>1</v>
      </c>
    </row>
    <row r="4" spans="1:6" ht="12" customHeight="1">
      <c r="A4" s="45"/>
      <c r="B4" s="48"/>
      <c r="C4" s="54" t="s">
        <v>11</v>
      </c>
      <c r="D4" s="54" t="s">
        <v>7</v>
      </c>
      <c r="E4" s="54" t="s">
        <v>8</v>
      </c>
      <c r="F4" s="52"/>
    </row>
    <row r="5" spans="1:6" ht="37.5" customHeight="1" thickBot="1">
      <c r="A5" s="46"/>
      <c r="B5" s="49"/>
      <c r="C5" s="55"/>
      <c r="D5" s="55"/>
      <c r="E5" s="55"/>
      <c r="F5" s="53"/>
    </row>
    <row r="6" spans="1:6">
      <c r="A6" s="57" t="s">
        <v>2</v>
      </c>
      <c r="B6" s="21" t="s">
        <v>38</v>
      </c>
      <c r="C6" s="12">
        <f>10527-5048</f>
        <v>5479</v>
      </c>
      <c r="D6" s="12">
        <f>2150-1210</f>
        <v>940</v>
      </c>
      <c r="E6" s="12">
        <v>0</v>
      </c>
      <c r="F6" s="13">
        <f t="shared" ref="F6:F30" si="0">SUM(C6:E6)</f>
        <v>6419</v>
      </c>
    </row>
    <row r="7" spans="1:6">
      <c r="A7" s="58"/>
      <c r="B7" s="14" t="s">
        <v>39</v>
      </c>
      <c r="C7" s="4">
        <f>22922-119</f>
        <v>22803</v>
      </c>
      <c r="D7" s="4">
        <f>5794-246</f>
        <v>5548</v>
      </c>
      <c r="E7" s="4">
        <v>18</v>
      </c>
      <c r="F7" s="5">
        <f t="shared" si="0"/>
        <v>28369</v>
      </c>
    </row>
    <row r="8" spans="1:6">
      <c r="A8" s="58"/>
      <c r="B8" s="14" t="s">
        <v>40</v>
      </c>
      <c r="C8" s="4">
        <f>20815+11932-311</f>
        <v>32436</v>
      </c>
      <c r="D8" s="4">
        <f>14826+4420-37</f>
        <v>19209</v>
      </c>
      <c r="E8" s="4">
        <f>49+38</f>
        <v>87</v>
      </c>
      <c r="F8" s="5">
        <f t="shared" si="0"/>
        <v>51732</v>
      </c>
    </row>
    <row r="9" spans="1:6">
      <c r="A9" s="58"/>
      <c r="B9" s="14" t="s">
        <v>41</v>
      </c>
      <c r="C9" s="4">
        <f>8023+6636-72</f>
        <v>14587</v>
      </c>
      <c r="D9" s="4">
        <f>1708+569-4</f>
        <v>2273</v>
      </c>
      <c r="E9" s="4">
        <f>16+11</f>
        <v>27</v>
      </c>
      <c r="F9" s="5">
        <f t="shared" si="0"/>
        <v>16887</v>
      </c>
    </row>
    <row r="10" spans="1:6">
      <c r="A10" s="58"/>
      <c r="B10" s="14" t="s">
        <v>42</v>
      </c>
      <c r="C10" s="4">
        <f>5054+6099-24</f>
        <v>11129</v>
      </c>
      <c r="D10" s="4">
        <f>130+16</f>
        <v>146</v>
      </c>
      <c r="E10" s="4">
        <f>3+3</f>
        <v>6</v>
      </c>
      <c r="F10" s="5">
        <f t="shared" si="0"/>
        <v>11281</v>
      </c>
    </row>
    <row r="11" spans="1:6">
      <c r="A11" s="58"/>
      <c r="B11" s="15" t="s">
        <v>1</v>
      </c>
      <c r="C11" s="15">
        <f>SUM(C6:C10)</f>
        <v>86434</v>
      </c>
      <c r="D11" s="15">
        <f>SUM(D6:D10)</f>
        <v>28116</v>
      </c>
      <c r="E11" s="15">
        <f>SUM(E6:E10)</f>
        <v>138</v>
      </c>
      <c r="F11" s="16">
        <f t="shared" si="0"/>
        <v>114688</v>
      </c>
    </row>
    <row r="12" spans="1:6">
      <c r="A12" s="58" t="s">
        <v>3</v>
      </c>
      <c r="B12" s="14" t="s">
        <v>43</v>
      </c>
      <c r="C12" s="4">
        <f>5237-4313</f>
        <v>924</v>
      </c>
      <c r="D12" s="4">
        <f>114-17</f>
        <v>97</v>
      </c>
      <c r="E12" s="4">
        <v>0</v>
      </c>
      <c r="F12" s="5">
        <f t="shared" si="0"/>
        <v>1021</v>
      </c>
    </row>
    <row r="13" spans="1:6">
      <c r="A13" s="58"/>
      <c r="B13" s="14" t="s">
        <v>44</v>
      </c>
      <c r="C13" s="4">
        <f>4351-50</f>
        <v>4301</v>
      </c>
      <c r="D13" s="4">
        <v>109</v>
      </c>
      <c r="E13" s="4">
        <v>12</v>
      </c>
      <c r="F13" s="5">
        <f t="shared" si="0"/>
        <v>4422</v>
      </c>
    </row>
    <row r="14" spans="1:6">
      <c r="A14" s="58"/>
      <c r="B14" s="14" t="s">
        <v>45</v>
      </c>
      <c r="C14" s="4">
        <f>7191+4324-99</f>
        <v>11416</v>
      </c>
      <c r="D14" s="4">
        <f>289+141</f>
        <v>430</v>
      </c>
      <c r="E14" s="4">
        <f>38+24</f>
        <v>62</v>
      </c>
      <c r="F14" s="5">
        <f t="shared" si="0"/>
        <v>11908</v>
      </c>
    </row>
    <row r="15" spans="1:6">
      <c r="A15" s="58"/>
      <c r="B15" s="14" t="s">
        <v>46</v>
      </c>
      <c r="C15" s="4">
        <f>2986+1864-33</f>
        <v>4817</v>
      </c>
      <c r="D15" s="4">
        <f>55+15</f>
        <v>70</v>
      </c>
      <c r="E15" s="4">
        <f>14+2</f>
        <v>16</v>
      </c>
      <c r="F15" s="5">
        <f t="shared" si="0"/>
        <v>4903</v>
      </c>
    </row>
    <row r="16" spans="1:6">
      <c r="A16" s="58"/>
      <c r="B16" s="14" t="s">
        <v>47</v>
      </c>
      <c r="C16" s="4">
        <f>1034+250-2</f>
        <v>1282</v>
      </c>
      <c r="D16" s="4">
        <v>1</v>
      </c>
      <c r="E16" s="4">
        <v>3</v>
      </c>
      <c r="F16" s="5">
        <f t="shared" si="0"/>
        <v>1286</v>
      </c>
    </row>
    <row r="17" spans="1:6">
      <c r="A17" s="58"/>
      <c r="B17" s="15" t="s">
        <v>1</v>
      </c>
      <c r="C17" s="15">
        <f>SUM(C12:C16)</f>
        <v>22740</v>
      </c>
      <c r="D17" s="15">
        <f>SUM(D12:D16)</f>
        <v>707</v>
      </c>
      <c r="E17" s="15">
        <f>SUM(E12:E16)</f>
        <v>93</v>
      </c>
      <c r="F17" s="16">
        <f t="shared" si="0"/>
        <v>23540</v>
      </c>
    </row>
    <row r="18" spans="1:6">
      <c r="A18" s="58" t="s">
        <v>4</v>
      </c>
      <c r="B18" s="14" t="s">
        <v>48</v>
      </c>
      <c r="C18" s="4">
        <f>80-35</f>
        <v>45</v>
      </c>
      <c r="D18" s="4">
        <f>42-6</f>
        <v>36</v>
      </c>
      <c r="E18" s="4">
        <v>0</v>
      </c>
      <c r="F18" s="5">
        <f t="shared" si="0"/>
        <v>81</v>
      </c>
    </row>
    <row r="19" spans="1:6">
      <c r="A19" s="58"/>
      <c r="B19" s="14" t="s">
        <v>49</v>
      </c>
      <c r="C19" s="4">
        <f>66-2</f>
        <v>64</v>
      </c>
      <c r="D19" s="4">
        <v>30</v>
      </c>
      <c r="E19" s="4">
        <v>2</v>
      </c>
      <c r="F19" s="5">
        <f t="shared" si="0"/>
        <v>96</v>
      </c>
    </row>
    <row r="20" spans="1:6">
      <c r="A20" s="58"/>
      <c r="B20" s="14" t="s">
        <v>50</v>
      </c>
      <c r="C20" s="4">
        <f>187+111-3</f>
        <v>295</v>
      </c>
      <c r="D20" s="4">
        <f>92+61</f>
        <v>153</v>
      </c>
      <c r="E20" s="4">
        <f>9+3</f>
        <v>12</v>
      </c>
      <c r="F20" s="5">
        <f t="shared" si="0"/>
        <v>460</v>
      </c>
    </row>
    <row r="21" spans="1:6">
      <c r="A21" s="58"/>
      <c r="B21" s="14" t="s">
        <v>51</v>
      </c>
      <c r="C21" s="4">
        <f>97+54-2</f>
        <v>149</v>
      </c>
      <c r="D21" s="4">
        <f>24+8</f>
        <v>32</v>
      </c>
      <c r="E21" s="4">
        <v>2</v>
      </c>
      <c r="F21" s="5">
        <f t="shared" si="0"/>
        <v>183</v>
      </c>
    </row>
    <row r="22" spans="1:6">
      <c r="A22" s="58"/>
      <c r="B22" s="14" t="s">
        <v>52</v>
      </c>
      <c r="C22" s="4">
        <f>14+5</f>
        <v>19</v>
      </c>
      <c r="D22" s="4">
        <v>0</v>
      </c>
      <c r="E22" s="4">
        <v>0</v>
      </c>
      <c r="F22" s="5">
        <f t="shared" si="0"/>
        <v>19</v>
      </c>
    </row>
    <row r="23" spans="1:6">
      <c r="A23" s="58"/>
      <c r="B23" s="15" t="s">
        <v>1</v>
      </c>
      <c r="C23" s="15">
        <f>SUM(C18:C22)</f>
        <v>572</v>
      </c>
      <c r="D23" s="15">
        <f>SUM(D18:D22)</f>
        <v>251</v>
      </c>
      <c r="E23" s="15">
        <f>SUM(E18:E22)</f>
        <v>16</v>
      </c>
      <c r="F23" s="16">
        <f t="shared" si="0"/>
        <v>839</v>
      </c>
    </row>
    <row r="24" spans="1:6">
      <c r="A24" s="58" t="s">
        <v>5</v>
      </c>
      <c r="B24" s="14" t="s">
        <v>53</v>
      </c>
      <c r="C24" s="4">
        <f>16-8</f>
        <v>8</v>
      </c>
      <c r="D24" s="4">
        <v>3</v>
      </c>
      <c r="E24" s="4">
        <v>0</v>
      </c>
      <c r="F24" s="5">
        <f t="shared" si="0"/>
        <v>11</v>
      </c>
    </row>
    <row r="25" spans="1:6">
      <c r="A25" s="58"/>
      <c r="B25" s="14" t="s">
        <v>54</v>
      </c>
      <c r="C25" s="4">
        <f>8-1</f>
        <v>7</v>
      </c>
      <c r="D25" s="4">
        <v>5</v>
      </c>
      <c r="E25" s="4">
        <v>4</v>
      </c>
      <c r="F25" s="5">
        <f t="shared" si="0"/>
        <v>16</v>
      </c>
    </row>
    <row r="26" spans="1:6">
      <c r="A26" s="58"/>
      <c r="B26" s="14" t="s">
        <v>55</v>
      </c>
      <c r="C26" s="4">
        <f>35+14-1</f>
        <v>48</v>
      </c>
      <c r="D26" s="4">
        <f>25+13</f>
        <v>38</v>
      </c>
      <c r="E26" s="4">
        <v>15</v>
      </c>
      <c r="F26" s="5">
        <f t="shared" si="0"/>
        <v>101</v>
      </c>
    </row>
    <row r="27" spans="1:6">
      <c r="A27" s="58"/>
      <c r="B27" s="14" t="s">
        <v>56</v>
      </c>
      <c r="C27" s="4">
        <f>11+10</f>
        <v>21</v>
      </c>
      <c r="D27" s="4">
        <f>5+1</f>
        <v>6</v>
      </c>
      <c r="E27" s="4">
        <v>0</v>
      </c>
      <c r="F27" s="5">
        <f t="shared" si="0"/>
        <v>27</v>
      </c>
    </row>
    <row r="28" spans="1:6">
      <c r="A28" s="58"/>
      <c r="B28" s="14" t="s">
        <v>57</v>
      </c>
      <c r="C28" s="4">
        <v>2</v>
      </c>
      <c r="D28" s="4"/>
      <c r="E28" s="4">
        <v>0</v>
      </c>
      <c r="F28" s="5">
        <f t="shared" si="0"/>
        <v>2</v>
      </c>
    </row>
    <row r="29" spans="1:6" ht="12.75" thickBot="1">
      <c r="A29" s="59"/>
      <c r="B29" s="6" t="s">
        <v>1</v>
      </c>
      <c r="C29" s="6">
        <f>SUM(C24:C28)</f>
        <v>86</v>
      </c>
      <c r="D29" s="6">
        <f>SUM(D24:D28)</f>
        <v>52</v>
      </c>
      <c r="E29" s="6">
        <f>SUM(E24:E28)</f>
        <v>19</v>
      </c>
      <c r="F29" s="7">
        <f t="shared" si="0"/>
        <v>157</v>
      </c>
    </row>
    <row r="30" spans="1:6" ht="12.75" thickBot="1">
      <c r="A30" s="11" t="s">
        <v>1</v>
      </c>
      <c r="B30" s="8"/>
      <c r="C30" s="9">
        <f>C11+C17+C23+C29</f>
        <v>109832</v>
      </c>
      <c r="D30" s="9">
        <f>D11+D17+D23+D29</f>
        <v>29126</v>
      </c>
      <c r="E30" s="9">
        <f>E11+E17+E23+E29</f>
        <v>266</v>
      </c>
      <c r="F30" s="10">
        <f t="shared" si="0"/>
        <v>139224</v>
      </c>
    </row>
    <row r="32" spans="1:6">
      <c r="D32" s="20"/>
      <c r="E32" s="20"/>
      <c r="F32" s="20"/>
    </row>
    <row r="33" spans="1:7" ht="24" customHeight="1">
      <c r="A33" s="60" t="s">
        <v>36</v>
      </c>
      <c r="B33" s="61"/>
      <c r="C33" s="61"/>
      <c r="D33" s="61"/>
      <c r="E33" s="61"/>
      <c r="F33" s="61"/>
      <c r="G33" s="20"/>
    </row>
    <row r="34" spans="1:7">
      <c r="A34" s="2">
        <v>43882</v>
      </c>
      <c r="F34" s="20"/>
      <c r="G34" s="20"/>
    </row>
    <row r="35" spans="1:7">
      <c r="A35" s="62" t="s">
        <v>37</v>
      </c>
      <c r="B35" s="62"/>
    </row>
    <row r="36" spans="1:7" ht="12.75" customHeight="1">
      <c r="C36" s="56" t="s">
        <v>9</v>
      </c>
      <c r="D36" s="56"/>
      <c r="E36" s="56"/>
      <c r="F36" s="56"/>
    </row>
    <row r="37" spans="1:7" ht="12.75" customHeight="1">
      <c r="C37" s="56" t="s">
        <v>10</v>
      </c>
      <c r="D37" s="56"/>
      <c r="E37" s="56"/>
      <c r="F37" s="56"/>
    </row>
    <row r="38" spans="1:7">
      <c r="A38" s="3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5:B35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90" zoomScaleNormal="90" workbookViewId="0">
      <selection activeCell="E30" sqref="E30"/>
    </sheetView>
  </sheetViews>
  <sheetFormatPr defaultRowHeight="12.75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bestFit="1" customWidth="1"/>
  </cols>
  <sheetData>
    <row r="1" spans="1:10" ht="32.25" customHeight="1">
      <c r="A1" s="69" t="s">
        <v>113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3.5" thickBot="1"/>
    <row r="3" spans="1:10" ht="13.5" thickBot="1">
      <c r="A3" s="71"/>
      <c r="B3" s="72" t="s">
        <v>58</v>
      </c>
      <c r="C3" s="72" t="s">
        <v>59</v>
      </c>
      <c r="D3" s="72" t="s">
        <v>60</v>
      </c>
      <c r="E3" s="72" t="s">
        <v>59</v>
      </c>
      <c r="F3" s="72" t="s">
        <v>61</v>
      </c>
      <c r="G3" s="72" t="s">
        <v>59</v>
      </c>
      <c r="H3" s="72" t="s">
        <v>62</v>
      </c>
      <c r="I3" s="72" t="s">
        <v>59</v>
      </c>
      <c r="J3" s="75" t="s">
        <v>1</v>
      </c>
    </row>
    <row r="4" spans="1:10" ht="13.5" thickBot="1">
      <c r="A4" s="71"/>
      <c r="B4" s="73"/>
      <c r="C4" s="73"/>
      <c r="D4" s="73"/>
      <c r="E4" s="73"/>
      <c r="F4" s="73"/>
      <c r="G4" s="73"/>
      <c r="H4" s="73"/>
      <c r="I4" s="73"/>
      <c r="J4" s="76"/>
    </row>
    <row r="5" spans="1:10" ht="13.5" thickBot="1">
      <c r="A5" s="71"/>
      <c r="B5" s="74"/>
      <c r="C5" s="74"/>
      <c r="D5" s="74"/>
      <c r="E5" s="74"/>
      <c r="F5" s="74"/>
      <c r="G5" s="74"/>
      <c r="H5" s="74"/>
      <c r="I5" s="74"/>
      <c r="J5" s="77"/>
    </row>
    <row r="6" spans="1:10">
      <c r="A6" s="78" t="s">
        <v>2</v>
      </c>
      <c r="B6" s="23" t="s">
        <v>63</v>
      </c>
      <c r="C6" s="23">
        <v>3</v>
      </c>
      <c r="D6" s="23" t="s">
        <v>64</v>
      </c>
      <c r="E6" s="23">
        <v>139</v>
      </c>
      <c r="F6" s="23" t="s">
        <v>65</v>
      </c>
      <c r="G6" s="23">
        <v>22</v>
      </c>
      <c r="H6" s="21" t="s">
        <v>38</v>
      </c>
      <c r="I6" s="23">
        <f>28-14</f>
        <v>14</v>
      </c>
      <c r="J6" s="79"/>
    </row>
    <row r="7" spans="1:10">
      <c r="A7" s="66"/>
      <c r="B7" s="24" t="s">
        <v>66</v>
      </c>
      <c r="C7" s="24">
        <v>3</v>
      </c>
      <c r="D7" s="24" t="s">
        <v>67</v>
      </c>
      <c r="E7" s="24">
        <v>318</v>
      </c>
      <c r="F7" s="24" t="s">
        <v>68</v>
      </c>
      <c r="G7" s="24">
        <v>88</v>
      </c>
      <c r="H7" s="14" t="s">
        <v>39</v>
      </c>
      <c r="I7" s="24">
        <v>123</v>
      </c>
      <c r="J7" s="65"/>
    </row>
    <row r="8" spans="1:10">
      <c r="A8" s="66"/>
      <c r="B8" s="24" t="s">
        <v>69</v>
      </c>
      <c r="C8" s="24">
        <v>7</v>
      </c>
      <c r="D8" s="24" t="s">
        <v>70</v>
      </c>
      <c r="E8" s="24">
        <v>813</v>
      </c>
      <c r="F8" s="24" t="s">
        <v>71</v>
      </c>
      <c r="G8" s="24">
        <v>200</v>
      </c>
      <c r="H8" s="14" t="s">
        <v>40</v>
      </c>
      <c r="I8" s="24">
        <v>196</v>
      </c>
      <c r="J8" s="65"/>
    </row>
    <row r="9" spans="1:10">
      <c r="A9" s="66"/>
      <c r="B9" s="24" t="s">
        <v>72</v>
      </c>
      <c r="C9" s="24">
        <v>6</v>
      </c>
      <c r="D9" s="24" t="s">
        <v>73</v>
      </c>
      <c r="E9" s="24">
        <f>145+88</f>
        <v>233</v>
      </c>
      <c r="F9" s="24" t="s">
        <v>74</v>
      </c>
      <c r="G9" s="24">
        <f>38+22</f>
        <v>60</v>
      </c>
      <c r="H9" s="14" t="s">
        <v>41</v>
      </c>
      <c r="I9" s="24">
        <f>39+19</f>
        <v>58</v>
      </c>
      <c r="J9" s="65"/>
    </row>
    <row r="10" spans="1:10">
      <c r="A10" s="66"/>
      <c r="B10" s="24" t="s">
        <v>75</v>
      </c>
      <c r="C10" s="24">
        <v>2</v>
      </c>
      <c r="D10" s="24" t="s">
        <v>76</v>
      </c>
      <c r="E10" s="24">
        <f>52+64</f>
        <v>116</v>
      </c>
      <c r="F10" s="24" t="s">
        <v>77</v>
      </c>
      <c r="G10" s="24">
        <f>9+15</f>
        <v>24</v>
      </c>
      <c r="H10" s="14" t="s">
        <v>42</v>
      </c>
      <c r="I10" s="24">
        <f>11+20</f>
        <v>31</v>
      </c>
      <c r="J10" s="65"/>
    </row>
    <row r="11" spans="1:10">
      <c r="A11" s="66"/>
      <c r="B11" s="25" t="s">
        <v>1</v>
      </c>
      <c r="C11" s="25">
        <f>SUM(C6:C10)</f>
        <v>21</v>
      </c>
      <c r="D11" s="25"/>
      <c r="E11" s="25">
        <f>SUM(E6:E10)</f>
        <v>1619</v>
      </c>
      <c r="F11" s="25"/>
      <c r="G11" s="25">
        <f>SUM(G6:G10)</f>
        <v>394</v>
      </c>
      <c r="H11" s="25"/>
      <c r="I11" s="26">
        <f>SUM(I6:I10)</f>
        <v>422</v>
      </c>
      <c r="J11" s="27">
        <f>C11+E11+G11+I11</f>
        <v>2456</v>
      </c>
    </row>
    <row r="12" spans="1:10">
      <c r="A12" s="66" t="s">
        <v>3</v>
      </c>
      <c r="B12" s="24" t="s">
        <v>78</v>
      </c>
      <c r="C12" s="24">
        <v>0</v>
      </c>
      <c r="D12" s="24" t="s">
        <v>38</v>
      </c>
      <c r="E12" s="24">
        <f>114-62</f>
        <v>52</v>
      </c>
      <c r="F12" s="24" t="s">
        <v>79</v>
      </c>
      <c r="G12" s="24">
        <f>33-18</f>
        <v>15</v>
      </c>
      <c r="H12" s="14" t="s">
        <v>43</v>
      </c>
      <c r="I12" s="24">
        <f>27-16</f>
        <v>11</v>
      </c>
      <c r="J12" s="65"/>
    </row>
    <row r="13" spans="1:10">
      <c r="A13" s="66"/>
      <c r="B13" s="24" t="s">
        <v>80</v>
      </c>
      <c r="C13" s="24">
        <v>0</v>
      </c>
      <c r="D13" s="24" t="s">
        <v>39</v>
      </c>
      <c r="E13" s="24">
        <v>89</v>
      </c>
      <c r="F13" s="24" t="s">
        <v>81</v>
      </c>
      <c r="G13" s="24">
        <v>30</v>
      </c>
      <c r="H13" s="14" t="s">
        <v>44</v>
      </c>
      <c r="I13" s="24">
        <v>22</v>
      </c>
      <c r="J13" s="65"/>
    </row>
    <row r="14" spans="1:10">
      <c r="A14" s="66"/>
      <c r="B14" s="24" t="s">
        <v>82</v>
      </c>
      <c r="C14" s="24">
        <v>7</v>
      </c>
      <c r="D14" s="24" t="s">
        <v>40</v>
      </c>
      <c r="E14" s="24">
        <v>519</v>
      </c>
      <c r="F14" s="24" t="s">
        <v>83</v>
      </c>
      <c r="G14" s="24">
        <f>57+39</f>
        <v>96</v>
      </c>
      <c r="H14" s="14" t="s">
        <v>45</v>
      </c>
      <c r="I14" s="24">
        <f>53+49</f>
        <v>102</v>
      </c>
      <c r="J14" s="65"/>
    </row>
    <row r="15" spans="1:10">
      <c r="A15" s="66"/>
      <c r="B15" s="24" t="s">
        <v>84</v>
      </c>
      <c r="C15" s="24">
        <v>2</v>
      </c>
      <c r="D15" s="24" t="s">
        <v>41</v>
      </c>
      <c r="E15" s="24">
        <f>107+29</f>
        <v>136</v>
      </c>
      <c r="F15" s="24" t="s">
        <v>85</v>
      </c>
      <c r="G15" s="24">
        <f>20+12</f>
        <v>32</v>
      </c>
      <c r="H15" s="14" t="s">
        <v>46</v>
      </c>
      <c r="I15" s="24">
        <f>17+10</f>
        <v>27</v>
      </c>
      <c r="J15" s="65"/>
    </row>
    <row r="16" spans="1:10">
      <c r="A16" s="66"/>
      <c r="B16" s="24" t="s">
        <v>86</v>
      </c>
      <c r="C16" s="24">
        <v>0</v>
      </c>
      <c r="D16" s="24" t="s">
        <v>42</v>
      </c>
      <c r="E16" s="24">
        <f>17+16</f>
        <v>33</v>
      </c>
      <c r="F16" s="24" t="s">
        <v>87</v>
      </c>
      <c r="G16" s="24">
        <f>2+4</f>
        <v>6</v>
      </c>
      <c r="H16" s="14" t="s">
        <v>47</v>
      </c>
      <c r="I16" s="24">
        <f>1+1</f>
        <v>2</v>
      </c>
      <c r="J16" s="65"/>
    </row>
    <row r="17" spans="1:10">
      <c r="A17" s="66"/>
      <c r="B17" s="25" t="s">
        <v>1</v>
      </c>
      <c r="C17" s="25">
        <f>SUM(C12:C16)</f>
        <v>9</v>
      </c>
      <c r="D17" s="25"/>
      <c r="E17" s="25">
        <f>SUM(E12:E16)</f>
        <v>829</v>
      </c>
      <c r="F17" s="25"/>
      <c r="G17" s="25">
        <f>SUM(G12:G16)</f>
        <v>179</v>
      </c>
      <c r="H17" s="25"/>
      <c r="I17" s="26">
        <f>SUM(I12:I16)</f>
        <v>164</v>
      </c>
      <c r="J17" s="27">
        <f>C17+E17+G17+I17</f>
        <v>1181</v>
      </c>
    </row>
    <row r="18" spans="1:10">
      <c r="A18" s="66" t="s">
        <v>4</v>
      </c>
      <c r="B18" s="24" t="s">
        <v>88</v>
      </c>
      <c r="C18" s="24">
        <v>0</v>
      </c>
      <c r="D18" s="24" t="s">
        <v>89</v>
      </c>
      <c r="E18" s="24">
        <f>53-34</f>
        <v>19</v>
      </c>
      <c r="F18" s="24" t="s">
        <v>90</v>
      </c>
      <c r="G18" s="24">
        <v>1</v>
      </c>
      <c r="H18" s="14" t="s">
        <v>48</v>
      </c>
      <c r="I18" s="24">
        <v>0</v>
      </c>
      <c r="J18" s="65"/>
    </row>
    <row r="19" spans="1:10">
      <c r="A19" s="66"/>
      <c r="B19" s="24" t="s">
        <v>91</v>
      </c>
      <c r="C19" s="24">
        <v>0</v>
      </c>
      <c r="D19" s="24" t="s">
        <v>92</v>
      </c>
      <c r="E19" s="24">
        <v>34</v>
      </c>
      <c r="F19" s="24" t="s">
        <v>93</v>
      </c>
      <c r="G19" s="24">
        <v>7</v>
      </c>
      <c r="H19" s="14" t="s">
        <v>49</v>
      </c>
      <c r="I19" s="24">
        <v>3</v>
      </c>
      <c r="J19" s="65"/>
    </row>
    <row r="20" spans="1:10">
      <c r="A20" s="66"/>
      <c r="B20" s="24" t="s">
        <v>94</v>
      </c>
      <c r="C20" s="24">
        <v>1</v>
      </c>
      <c r="D20" s="24" t="s">
        <v>95</v>
      </c>
      <c r="E20" s="24">
        <f>142+72</f>
        <v>214</v>
      </c>
      <c r="F20" s="24" t="s">
        <v>96</v>
      </c>
      <c r="G20" s="24">
        <f>23+23</f>
        <v>46</v>
      </c>
      <c r="H20" s="14" t="s">
        <v>50</v>
      </c>
      <c r="I20" s="24">
        <f>24+5</f>
        <v>29</v>
      </c>
      <c r="J20" s="65"/>
    </row>
    <row r="21" spans="1:10">
      <c r="A21" s="66"/>
      <c r="B21" s="24" t="s">
        <v>97</v>
      </c>
      <c r="C21" s="24">
        <v>1</v>
      </c>
      <c r="D21" s="24" t="s">
        <v>98</v>
      </c>
      <c r="E21" s="24">
        <f>28+12</f>
        <v>40</v>
      </c>
      <c r="F21" s="24" t="s">
        <v>99</v>
      </c>
      <c r="G21" s="24">
        <v>6</v>
      </c>
      <c r="H21" s="14" t="s">
        <v>51</v>
      </c>
      <c r="I21" s="24">
        <v>9</v>
      </c>
      <c r="J21" s="65"/>
    </row>
    <row r="22" spans="1:10">
      <c r="A22" s="66"/>
      <c r="B22" s="24" t="s">
        <v>100</v>
      </c>
      <c r="C22" s="24">
        <v>0</v>
      </c>
      <c r="D22" s="24" t="s">
        <v>101</v>
      </c>
      <c r="E22" s="24">
        <v>7</v>
      </c>
      <c r="F22" s="24" t="s">
        <v>102</v>
      </c>
      <c r="G22" s="24">
        <v>1</v>
      </c>
      <c r="H22" s="14" t="s">
        <v>52</v>
      </c>
      <c r="I22" s="24">
        <v>2</v>
      </c>
      <c r="J22" s="65"/>
    </row>
    <row r="23" spans="1:10">
      <c r="A23" s="66"/>
      <c r="B23" s="25" t="s">
        <v>1</v>
      </c>
      <c r="C23" s="25">
        <f>SUM(C18:C22)</f>
        <v>2</v>
      </c>
      <c r="D23" s="25"/>
      <c r="E23" s="25">
        <f>SUM(E18:E22)</f>
        <v>314</v>
      </c>
      <c r="F23" s="25"/>
      <c r="G23" s="25">
        <f>SUM(G18:G22)</f>
        <v>61</v>
      </c>
      <c r="H23" s="25"/>
      <c r="I23" s="26">
        <f>SUM(I18:I22)</f>
        <v>43</v>
      </c>
      <c r="J23" s="27">
        <f>C23+E23+G23+I23</f>
        <v>420</v>
      </c>
    </row>
    <row r="24" spans="1:10">
      <c r="A24" s="66" t="s">
        <v>5</v>
      </c>
      <c r="B24" s="24" t="s">
        <v>38</v>
      </c>
      <c r="C24" s="24">
        <v>0</v>
      </c>
      <c r="D24" s="24" t="s">
        <v>103</v>
      </c>
      <c r="E24" s="24">
        <v>6</v>
      </c>
      <c r="F24" s="24" t="s">
        <v>104</v>
      </c>
      <c r="G24" s="24">
        <v>1</v>
      </c>
      <c r="H24" s="14" t="s">
        <v>53</v>
      </c>
      <c r="I24" s="24">
        <v>27</v>
      </c>
      <c r="J24" s="65"/>
    </row>
    <row r="25" spans="1:10">
      <c r="A25" s="66"/>
      <c r="B25" s="24" t="s">
        <v>39</v>
      </c>
      <c r="C25" s="24">
        <v>0</v>
      </c>
      <c r="D25" s="24" t="s">
        <v>105</v>
      </c>
      <c r="E25" s="24">
        <v>13</v>
      </c>
      <c r="F25" s="24" t="s">
        <v>106</v>
      </c>
      <c r="G25" s="24">
        <v>4</v>
      </c>
      <c r="H25" s="14" t="s">
        <v>54</v>
      </c>
      <c r="I25" s="24">
        <v>123</v>
      </c>
      <c r="J25" s="65"/>
    </row>
    <row r="26" spans="1:10">
      <c r="A26" s="66"/>
      <c r="B26" s="24" t="s">
        <v>40</v>
      </c>
      <c r="C26" s="24">
        <v>1</v>
      </c>
      <c r="D26" s="24" t="s">
        <v>107</v>
      </c>
      <c r="E26" s="24">
        <f>57+22</f>
        <v>79</v>
      </c>
      <c r="F26" s="24" t="s">
        <v>108</v>
      </c>
      <c r="G26" s="24">
        <v>17</v>
      </c>
      <c r="H26" s="14" t="s">
        <v>55</v>
      </c>
      <c r="I26" s="24">
        <f>127+70</f>
        <v>197</v>
      </c>
      <c r="J26" s="65"/>
    </row>
    <row r="27" spans="1:10">
      <c r="A27" s="66"/>
      <c r="B27" s="24" t="s">
        <v>41</v>
      </c>
      <c r="C27" s="24">
        <v>0</v>
      </c>
      <c r="D27" s="24" t="s">
        <v>109</v>
      </c>
      <c r="E27" s="24">
        <v>9</v>
      </c>
      <c r="F27" s="24" t="s">
        <v>110</v>
      </c>
      <c r="G27" s="24">
        <v>2</v>
      </c>
      <c r="H27" s="14" t="s">
        <v>56</v>
      </c>
      <c r="I27" s="24">
        <f>39+19</f>
        <v>58</v>
      </c>
      <c r="J27" s="65"/>
    </row>
    <row r="28" spans="1:10">
      <c r="A28" s="66"/>
      <c r="B28" s="24" t="s">
        <v>42</v>
      </c>
      <c r="C28" s="24">
        <v>0</v>
      </c>
      <c r="D28" s="24" t="s">
        <v>111</v>
      </c>
      <c r="E28" s="24">
        <v>4</v>
      </c>
      <c r="F28" s="24" t="s">
        <v>112</v>
      </c>
      <c r="G28" s="24">
        <v>0</v>
      </c>
      <c r="H28" s="14" t="s">
        <v>57</v>
      </c>
      <c r="I28" s="24">
        <f>11+20</f>
        <v>31</v>
      </c>
      <c r="J28" s="65"/>
    </row>
    <row r="29" spans="1:10" ht="13.5" thickBot="1">
      <c r="A29" s="67"/>
      <c r="B29" s="28" t="s">
        <v>1</v>
      </c>
      <c r="C29" s="28">
        <f>SUM(C24:C28)</f>
        <v>1</v>
      </c>
      <c r="D29" s="28"/>
      <c r="E29" s="28">
        <f>SUM(E24:E28)</f>
        <v>111</v>
      </c>
      <c r="F29" s="28"/>
      <c r="G29" s="28">
        <f>SUM(G24:G28)</f>
        <v>24</v>
      </c>
      <c r="H29" s="28"/>
      <c r="I29" s="29">
        <f>SUM(I24:I28)</f>
        <v>436</v>
      </c>
      <c r="J29" s="30">
        <f>C29+E29+G29+I29</f>
        <v>572</v>
      </c>
    </row>
    <row r="30" spans="1:10" ht="13.5" thickBot="1">
      <c r="A30" s="31" t="s">
        <v>1</v>
      </c>
      <c r="B30" s="32"/>
      <c r="C30" s="33">
        <f>C11+C17+C23+C29</f>
        <v>33</v>
      </c>
      <c r="D30" s="33"/>
      <c r="E30" s="33">
        <f>E11+E17+E23+E29</f>
        <v>2873</v>
      </c>
      <c r="F30" s="33"/>
      <c r="G30" s="33">
        <f>G11+G17+G23+G29</f>
        <v>658</v>
      </c>
      <c r="H30" s="33"/>
      <c r="I30" s="33">
        <f>I11+I17+I23+I29</f>
        <v>1065</v>
      </c>
      <c r="J30" s="34">
        <f>C30+E30+G30+I30</f>
        <v>4629</v>
      </c>
    </row>
    <row r="31" spans="1:10">
      <c r="A31" s="35"/>
      <c r="B31" s="36"/>
      <c r="C31" s="35"/>
      <c r="D31" s="35"/>
      <c r="E31" s="35"/>
      <c r="F31" s="35"/>
      <c r="G31" s="35"/>
      <c r="H31" s="35"/>
      <c r="I31" s="35"/>
      <c r="J31" s="37"/>
    </row>
    <row r="32" spans="1:10">
      <c r="A32" s="38" t="s">
        <v>114</v>
      </c>
      <c r="B32" s="39"/>
      <c r="C32" s="39"/>
      <c r="D32" s="39"/>
      <c r="E32" s="39"/>
      <c r="F32" s="39"/>
    </row>
    <row r="33" spans="1:10">
      <c r="A33" s="40">
        <v>43882</v>
      </c>
    </row>
    <row r="34" spans="1:10">
      <c r="A34" s="68" t="s">
        <v>37</v>
      </c>
      <c r="B34" s="68"/>
    </row>
    <row r="35" spans="1:10">
      <c r="G35" s="63" t="s">
        <v>9</v>
      </c>
      <c r="H35" s="64"/>
      <c r="I35" s="64"/>
      <c r="J35" s="64"/>
    </row>
    <row r="36" spans="1:10">
      <c r="G36" s="63" t="s">
        <v>10</v>
      </c>
      <c r="H36" s="64"/>
      <c r="I36" s="64"/>
      <c r="J36" s="64"/>
    </row>
    <row r="39" spans="1:10">
      <c r="A39" s="41"/>
    </row>
  </sheetData>
  <mergeCells count="22">
    <mergeCell ref="A6:A11"/>
    <mergeCell ref="J6:J10"/>
    <mergeCell ref="A12:A17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36:J36"/>
    <mergeCell ref="J12:J16"/>
    <mergeCell ref="A24:A29"/>
    <mergeCell ref="J24:J28"/>
    <mergeCell ref="A34:B34"/>
    <mergeCell ref="G35:J35"/>
    <mergeCell ref="A18:A23"/>
    <mergeCell ref="J18:J22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topLeftCell="A25" workbookViewId="0">
      <selection activeCell="C37" sqref="C37:F37"/>
    </sheetView>
  </sheetViews>
  <sheetFormatPr defaultRowHeight="12"/>
  <cols>
    <col min="1" max="1" width="13.42578125" style="1" customWidth="1"/>
    <col min="2" max="2" width="14.28515625" style="1" customWidth="1"/>
    <col min="3" max="3" width="15.85546875" style="1" customWidth="1"/>
    <col min="4" max="4" width="14" style="1" customWidth="1"/>
    <col min="5" max="5" width="10" style="1" customWidth="1"/>
    <col min="6" max="6" width="6.85546875" style="1" bestFit="1" customWidth="1"/>
    <col min="7" max="16384" width="9.140625" style="1"/>
  </cols>
  <sheetData>
    <row r="1" spans="1:6" ht="46.5" customHeight="1">
      <c r="A1" s="42" t="s">
        <v>115</v>
      </c>
      <c r="B1" s="43"/>
      <c r="C1" s="43"/>
      <c r="D1" s="43"/>
      <c r="E1" s="43"/>
      <c r="F1" s="43"/>
    </row>
    <row r="2" spans="1:6" ht="12.75" thickBot="1"/>
    <row r="3" spans="1:6">
      <c r="A3" s="44"/>
      <c r="B3" s="47" t="s">
        <v>0</v>
      </c>
      <c r="C3" s="50" t="s">
        <v>6</v>
      </c>
      <c r="D3" s="50"/>
      <c r="E3" s="50"/>
      <c r="F3" s="51" t="s">
        <v>1</v>
      </c>
    </row>
    <row r="4" spans="1:6" ht="12" customHeight="1">
      <c r="A4" s="45"/>
      <c r="B4" s="48"/>
      <c r="C4" s="54" t="s">
        <v>11</v>
      </c>
      <c r="D4" s="54" t="s">
        <v>7</v>
      </c>
      <c r="E4" s="54" t="s">
        <v>8</v>
      </c>
      <c r="F4" s="52"/>
    </row>
    <row r="5" spans="1:6" ht="37.5" customHeight="1" thickBot="1">
      <c r="A5" s="46"/>
      <c r="B5" s="49"/>
      <c r="C5" s="55"/>
      <c r="D5" s="55"/>
      <c r="E5" s="55"/>
      <c r="F5" s="53"/>
    </row>
    <row r="6" spans="1:6">
      <c r="A6" s="57" t="s">
        <v>2</v>
      </c>
      <c r="B6" s="21" t="s">
        <v>120</v>
      </c>
      <c r="C6" s="12">
        <f>19124-5660</f>
        <v>13464</v>
      </c>
      <c r="D6" s="12">
        <f>4461-1256</f>
        <v>3205</v>
      </c>
      <c r="E6" s="12">
        <f>357-357</f>
        <v>0</v>
      </c>
      <c r="F6" s="13">
        <f t="shared" ref="F6:F30" si="0">SUM(C6:E6)</f>
        <v>16669</v>
      </c>
    </row>
    <row r="7" spans="1:6">
      <c r="A7" s="58"/>
      <c r="B7" s="14" t="s">
        <v>121</v>
      </c>
      <c r="C7" s="4">
        <f>15292-133</f>
        <v>15159</v>
      </c>
      <c r="D7" s="4">
        <f>4492-273</f>
        <v>4219</v>
      </c>
      <c r="E7" s="4">
        <f>19-0</f>
        <v>19</v>
      </c>
      <c r="F7" s="5">
        <f t="shared" si="0"/>
        <v>19397</v>
      </c>
    </row>
    <row r="8" spans="1:6">
      <c r="A8" s="58"/>
      <c r="B8" s="14" t="s">
        <v>122</v>
      </c>
      <c r="C8" s="4">
        <f>21311+12293-357</f>
        <v>33247</v>
      </c>
      <c r="D8" s="4">
        <f>14184+4699-43</f>
        <v>18840</v>
      </c>
      <c r="E8" s="4">
        <f>51+39-0</f>
        <v>90</v>
      </c>
      <c r="F8" s="5">
        <f t="shared" si="0"/>
        <v>52177</v>
      </c>
    </row>
    <row r="9" spans="1:6">
      <c r="A9" s="58"/>
      <c r="B9" s="14" t="s">
        <v>123</v>
      </c>
      <c r="C9" s="4">
        <f>8428+6970-76</f>
        <v>15322</v>
      </c>
      <c r="D9" s="4">
        <f>1879+637-76</f>
        <v>2440</v>
      </c>
      <c r="E9" s="4">
        <f>19+12-0</f>
        <v>31</v>
      </c>
      <c r="F9" s="5">
        <f t="shared" si="0"/>
        <v>17793</v>
      </c>
    </row>
    <row r="10" spans="1:6">
      <c r="A10" s="58"/>
      <c r="B10" s="14" t="s">
        <v>124</v>
      </c>
      <c r="C10" s="4">
        <f>5402+6589-27</f>
        <v>11964</v>
      </c>
      <c r="D10" s="4">
        <f>136+19-27</f>
        <v>128</v>
      </c>
      <c r="E10" s="4">
        <f>3+3-0</f>
        <v>6</v>
      </c>
      <c r="F10" s="5">
        <f t="shared" si="0"/>
        <v>12098</v>
      </c>
    </row>
    <row r="11" spans="1:6">
      <c r="A11" s="58"/>
      <c r="B11" s="15" t="s">
        <v>1</v>
      </c>
      <c r="C11" s="15">
        <f>SUM(C6:C10)</f>
        <v>89156</v>
      </c>
      <c r="D11" s="15">
        <f>SUM(D6:D10)</f>
        <v>28832</v>
      </c>
      <c r="E11" s="15">
        <f>SUM(E6:E10)</f>
        <v>146</v>
      </c>
      <c r="F11" s="16">
        <f t="shared" si="0"/>
        <v>118134</v>
      </c>
    </row>
    <row r="12" spans="1:6">
      <c r="A12" s="58" t="s">
        <v>3</v>
      </c>
      <c r="B12" s="14" t="s">
        <v>130</v>
      </c>
      <c r="C12" s="4">
        <f>5564-4156</f>
        <v>1408</v>
      </c>
      <c r="D12" s="4">
        <f>159-22</f>
        <v>137</v>
      </c>
      <c r="E12" s="4">
        <f>142-142</f>
        <v>0</v>
      </c>
      <c r="F12" s="5">
        <f t="shared" si="0"/>
        <v>1545</v>
      </c>
    </row>
    <row r="13" spans="1:6">
      <c r="A13" s="58"/>
      <c r="B13" s="14" t="s">
        <v>131</v>
      </c>
      <c r="C13" s="4">
        <f>3702-46</f>
        <v>3656</v>
      </c>
      <c r="D13" s="4">
        <f>84-1</f>
        <v>83</v>
      </c>
      <c r="E13" s="4">
        <f>15-0</f>
        <v>15</v>
      </c>
      <c r="F13" s="5">
        <f t="shared" si="0"/>
        <v>3754</v>
      </c>
    </row>
    <row r="14" spans="1:6">
      <c r="A14" s="58"/>
      <c r="B14" s="14" t="s">
        <v>132</v>
      </c>
      <c r="C14" s="4">
        <f>7079+4313-98</f>
        <v>11294</v>
      </c>
      <c r="D14" s="4">
        <f>311+144-0</f>
        <v>455</v>
      </c>
      <c r="E14" s="4">
        <f>37+23-0</f>
        <v>60</v>
      </c>
      <c r="F14" s="5">
        <f t="shared" si="0"/>
        <v>11809</v>
      </c>
    </row>
    <row r="15" spans="1:6">
      <c r="A15" s="58"/>
      <c r="B15" s="14" t="s">
        <v>133</v>
      </c>
      <c r="C15" s="4">
        <f>2925+1861-34</f>
        <v>4752</v>
      </c>
      <c r="D15" s="4">
        <f>57+17-0</f>
        <v>74</v>
      </c>
      <c r="E15" s="4">
        <f>11+2-0</f>
        <v>13</v>
      </c>
      <c r="F15" s="5">
        <f t="shared" si="0"/>
        <v>4839</v>
      </c>
    </row>
    <row r="16" spans="1:6">
      <c r="A16" s="58"/>
      <c r="B16" s="14" t="s">
        <v>134</v>
      </c>
      <c r="C16" s="4">
        <f>994+240-1</f>
        <v>1233</v>
      </c>
      <c r="D16" s="4">
        <f>0-0</f>
        <v>0</v>
      </c>
      <c r="E16" s="4">
        <f>2+0-0</f>
        <v>2</v>
      </c>
      <c r="F16" s="5">
        <f t="shared" si="0"/>
        <v>1235</v>
      </c>
    </row>
    <row r="17" spans="1:6">
      <c r="A17" s="58"/>
      <c r="B17" s="15" t="s">
        <v>1</v>
      </c>
      <c r="C17" s="15">
        <f>SUM(C12:C16)</f>
        <v>22343</v>
      </c>
      <c r="D17" s="15">
        <f>SUM(D12:D16)</f>
        <v>749</v>
      </c>
      <c r="E17" s="15">
        <f>SUM(E12:E16)</f>
        <v>90</v>
      </c>
      <c r="F17" s="16">
        <f t="shared" si="0"/>
        <v>23182</v>
      </c>
    </row>
    <row r="18" spans="1:6">
      <c r="A18" s="58" t="s">
        <v>4</v>
      </c>
      <c r="B18" s="14" t="s">
        <v>125</v>
      </c>
      <c r="C18" s="4">
        <f>84-40</f>
        <v>44</v>
      </c>
      <c r="D18" s="4">
        <f>43-5</f>
        <v>38</v>
      </c>
      <c r="E18" s="4">
        <f>50-50</f>
        <v>0</v>
      </c>
      <c r="F18" s="5">
        <f t="shared" si="0"/>
        <v>82</v>
      </c>
    </row>
    <row r="19" spans="1:6">
      <c r="A19" s="58"/>
      <c r="B19" s="14" t="s">
        <v>126</v>
      </c>
      <c r="C19" s="4">
        <f>70-1</f>
        <v>69</v>
      </c>
      <c r="D19" s="4">
        <f>29-0</f>
        <v>29</v>
      </c>
      <c r="E19" s="4">
        <f>1-0</f>
        <v>1</v>
      </c>
      <c r="F19" s="5">
        <f t="shared" si="0"/>
        <v>99</v>
      </c>
    </row>
    <row r="20" spans="1:6">
      <c r="A20" s="58"/>
      <c r="B20" s="14" t="s">
        <v>127</v>
      </c>
      <c r="C20" s="4">
        <f>208+103-5</f>
        <v>306</v>
      </c>
      <c r="D20" s="4">
        <f>100+64-0</f>
        <v>164</v>
      </c>
      <c r="E20" s="4">
        <f>11+2-0</f>
        <v>13</v>
      </c>
      <c r="F20" s="5">
        <f t="shared" si="0"/>
        <v>483</v>
      </c>
    </row>
    <row r="21" spans="1:6">
      <c r="A21" s="58"/>
      <c r="B21" s="14" t="s">
        <v>128</v>
      </c>
      <c r="C21" s="4">
        <f>86+53-2</f>
        <v>137</v>
      </c>
      <c r="D21" s="4">
        <f>22+9-2</f>
        <v>29</v>
      </c>
      <c r="E21" s="4">
        <f>1+0-0</f>
        <v>1</v>
      </c>
      <c r="F21" s="5">
        <f t="shared" si="0"/>
        <v>167</v>
      </c>
    </row>
    <row r="22" spans="1:6">
      <c r="A22" s="58"/>
      <c r="B22" s="14" t="s">
        <v>129</v>
      </c>
      <c r="C22" s="4">
        <f>14+4-0</f>
        <v>18</v>
      </c>
      <c r="D22" s="4">
        <f>0+0-0</f>
        <v>0</v>
      </c>
      <c r="E22" s="4">
        <f>0</f>
        <v>0</v>
      </c>
      <c r="F22" s="5">
        <f t="shared" si="0"/>
        <v>18</v>
      </c>
    </row>
    <row r="23" spans="1:6">
      <c r="A23" s="58"/>
      <c r="B23" s="15" t="s">
        <v>1</v>
      </c>
      <c r="C23" s="15">
        <f>SUM(C18:C22)</f>
        <v>574</v>
      </c>
      <c r="D23" s="15">
        <f>SUM(D18:D22)</f>
        <v>260</v>
      </c>
      <c r="E23" s="15">
        <f>SUM(E18:E22)</f>
        <v>15</v>
      </c>
      <c r="F23" s="16">
        <f t="shared" si="0"/>
        <v>849</v>
      </c>
    </row>
    <row r="24" spans="1:6">
      <c r="A24" s="58" t="s">
        <v>5</v>
      </c>
      <c r="B24" s="14" t="s">
        <v>135</v>
      </c>
      <c r="C24" s="4">
        <f>13-6</f>
        <v>7</v>
      </c>
      <c r="D24" s="4">
        <f>9-0</f>
        <v>9</v>
      </c>
      <c r="E24" s="4">
        <f>24-24</f>
        <v>0</v>
      </c>
      <c r="F24" s="5">
        <f t="shared" si="0"/>
        <v>16</v>
      </c>
    </row>
    <row r="25" spans="1:6">
      <c r="A25" s="58"/>
      <c r="B25" s="14" t="s">
        <v>136</v>
      </c>
      <c r="C25" s="4">
        <f>9-1</f>
        <v>8</v>
      </c>
      <c r="D25" s="4">
        <f>3-0</f>
        <v>3</v>
      </c>
      <c r="E25" s="4">
        <f>3</f>
        <v>3</v>
      </c>
      <c r="F25" s="5">
        <f t="shared" si="0"/>
        <v>14</v>
      </c>
    </row>
    <row r="26" spans="1:6">
      <c r="A26" s="58"/>
      <c r="B26" s="14" t="s">
        <v>137</v>
      </c>
      <c r="C26" s="4">
        <f>31+17-1</f>
        <v>47</v>
      </c>
      <c r="D26" s="4">
        <f>24+17-0</f>
        <v>41</v>
      </c>
      <c r="E26" s="4">
        <f>9</f>
        <v>9</v>
      </c>
      <c r="F26" s="5">
        <f t="shared" si="0"/>
        <v>97</v>
      </c>
    </row>
    <row r="27" spans="1:6">
      <c r="A27" s="58"/>
      <c r="B27" s="14" t="s">
        <v>138</v>
      </c>
      <c r="C27" s="4">
        <f>14+6-0</f>
        <v>20</v>
      </c>
      <c r="D27" s="4">
        <f>4+0-0</f>
        <v>4</v>
      </c>
      <c r="E27" s="4">
        <f>0</f>
        <v>0</v>
      </c>
      <c r="F27" s="5">
        <f t="shared" si="0"/>
        <v>24</v>
      </c>
    </row>
    <row r="28" spans="1:6">
      <c r="A28" s="58"/>
      <c r="B28" s="14" t="s">
        <v>139</v>
      </c>
      <c r="C28" s="4">
        <f>4+0-0</f>
        <v>4</v>
      </c>
      <c r="D28" s="4">
        <f>0</f>
        <v>0</v>
      </c>
      <c r="E28" s="4">
        <v>0</v>
      </c>
      <c r="F28" s="5">
        <f t="shared" si="0"/>
        <v>4</v>
      </c>
    </row>
    <row r="29" spans="1:6" ht="12.75" thickBot="1">
      <c r="A29" s="59"/>
      <c r="B29" s="6" t="s">
        <v>1</v>
      </c>
      <c r="C29" s="6">
        <f>SUM(C24:C28)</f>
        <v>86</v>
      </c>
      <c r="D29" s="6">
        <f>SUM(D24:D28)</f>
        <v>57</v>
      </c>
      <c r="E29" s="6">
        <f>SUM(E24:E28)</f>
        <v>12</v>
      </c>
      <c r="F29" s="7">
        <f t="shared" si="0"/>
        <v>155</v>
      </c>
    </row>
    <row r="30" spans="1:6" ht="12.75" thickBot="1">
      <c r="A30" s="11" t="s">
        <v>1</v>
      </c>
      <c r="B30" s="8"/>
      <c r="C30" s="9">
        <f>C11+C17+C23+C29</f>
        <v>112159</v>
      </c>
      <c r="D30" s="9">
        <f>D11+D17+D23+D29</f>
        <v>29898</v>
      </c>
      <c r="E30" s="9">
        <f>E11+E17+E23+E29</f>
        <v>263</v>
      </c>
      <c r="F30" s="10">
        <f t="shared" si="0"/>
        <v>142320</v>
      </c>
    </row>
    <row r="32" spans="1:6">
      <c r="A32" s="87"/>
      <c r="B32" s="87"/>
      <c r="C32" s="87"/>
      <c r="D32" s="88"/>
      <c r="E32" s="88"/>
      <c r="F32" s="88"/>
    </row>
    <row r="33" spans="1:7" ht="24" customHeight="1">
      <c r="A33" s="89" t="s">
        <v>116</v>
      </c>
      <c r="B33" s="90"/>
      <c r="C33" s="90"/>
      <c r="D33" s="90"/>
      <c r="E33" s="90"/>
      <c r="F33" s="90"/>
      <c r="G33" s="22"/>
    </row>
    <row r="34" spans="1:7">
      <c r="A34" s="87"/>
      <c r="B34" s="87"/>
      <c r="C34" s="87"/>
      <c r="D34" s="87"/>
      <c r="E34" s="87"/>
      <c r="F34" s="88"/>
      <c r="G34" s="22"/>
    </row>
    <row r="35" spans="1:7">
      <c r="A35" s="87"/>
      <c r="B35" s="87"/>
      <c r="C35" s="87"/>
      <c r="D35" s="87"/>
      <c r="E35" s="87"/>
      <c r="F35" s="87"/>
    </row>
    <row r="36" spans="1:7" ht="12.75" customHeight="1">
      <c r="A36" s="91">
        <v>44305</v>
      </c>
      <c r="B36" s="87"/>
      <c r="C36" s="92" t="s">
        <v>9</v>
      </c>
      <c r="D36" s="92"/>
      <c r="E36" s="92"/>
      <c r="F36" s="92"/>
    </row>
    <row r="37" spans="1:7" ht="12.75" customHeight="1">
      <c r="A37" s="93" t="s">
        <v>117</v>
      </c>
      <c r="B37" s="93"/>
      <c r="C37" s="92" t="s">
        <v>10</v>
      </c>
      <c r="D37" s="92"/>
      <c r="E37" s="92"/>
      <c r="F37" s="92"/>
    </row>
    <row r="38" spans="1:7">
      <c r="A38" s="94"/>
      <c r="B38" s="87"/>
      <c r="C38" s="87"/>
      <c r="D38" s="87"/>
      <c r="E38" s="87"/>
      <c r="F38" s="87"/>
    </row>
    <row r="39" spans="1:7">
      <c r="A39" s="87"/>
      <c r="B39" s="87"/>
      <c r="C39" s="87"/>
      <c r="D39" s="87"/>
      <c r="E39" s="87"/>
      <c r="F39" s="87"/>
    </row>
  </sheetData>
  <mergeCells count="16">
    <mergeCell ref="C36:F36"/>
    <mergeCell ref="C37:F37"/>
    <mergeCell ref="A6:A11"/>
    <mergeCell ref="A12:A17"/>
    <mergeCell ref="A18:A23"/>
    <mergeCell ref="A24:A29"/>
    <mergeCell ref="A33:F33"/>
    <mergeCell ref="A37:B3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topLeftCell="A16" zoomScale="60" zoomScaleNormal="70" workbookViewId="0">
      <selection activeCell="K30" sqref="K30"/>
    </sheetView>
  </sheetViews>
  <sheetFormatPr defaultRowHeight="12.75"/>
  <cols>
    <col min="1" max="1" width="15.28515625" customWidth="1"/>
    <col min="2" max="2" width="13.5703125" customWidth="1"/>
    <col min="3" max="3" width="13.85546875" customWidth="1"/>
    <col min="4" max="4" width="14.42578125" customWidth="1"/>
    <col min="5" max="5" width="13.7109375" customWidth="1"/>
    <col min="6" max="6" width="14.85546875" customWidth="1"/>
    <col min="7" max="7" width="13.85546875" customWidth="1"/>
    <col min="8" max="8" width="14.85546875" customWidth="1"/>
    <col min="9" max="9" width="13.7109375" customWidth="1"/>
    <col min="10" max="10" width="7.7109375" style="36" bestFit="1" customWidth="1"/>
  </cols>
  <sheetData>
    <row r="1" spans="1:10" ht="32.25" customHeight="1">
      <c r="A1" s="69" t="s">
        <v>118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3.5" thickBot="1"/>
    <row r="3" spans="1:10" ht="13.5" thickBot="1">
      <c r="A3" s="71"/>
      <c r="B3" s="72" t="s">
        <v>58</v>
      </c>
      <c r="C3" s="72" t="s">
        <v>59</v>
      </c>
      <c r="D3" s="72" t="s">
        <v>60</v>
      </c>
      <c r="E3" s="72" t="s">
        <v>59</v>
      </c>
      <c r="F3" s="72" t="s">
        <v>61</v>
      </c>
      <c r="G3" s="72" t="s">
        <v>59</v>
      </c>
      <c r="H3" s="72" t="s">
        <v>62</v>
      </c>
      <c r="I3" s="72" t="s">
        <v>59</v>
      </c>
      <c r="J3" s="75" t="s">
        <v>1</v>
      </c>
    </row>
    <row r="4" spans="1:10" ht="13.5" thickBot="1">
      <c r="A4" s="71"/>
      <c r="B4" s="73"/>
      <c r="C4" s="73"/>
      <c r="D4" s="73"/>
      <c r="E4" s="73"/>
      <c r="F4" s="73"/>
      <c r="G4" s="73"/>
      <c r="H4" s="73"/>
      <c r="I4" s="73"/>
      <c r="J4" s="76"/>
    </row>
    <row r="5" spans="1:10" ht="13.5" thickBot="1">
      <c r="A5" s="71"/>
      <c r="B5" s="74"/>
      <c r="C5" s="74"/>
      <c r="D5" s="74"/>
      <c r="E5" s="74"/>
      <c r="F5" s="74"/>
      <c r="G5" s="74"/>
      <c r="H5" s="74"/>
      <c r="I5" s="74"/>
      <c r="J5" s="77"/>
    </row>
    <row r="6" spans="1:10">
      <c r="A6" s="78" t="s">
        <v>2</v>
      </c>
      <c r="B6" s="23" t="s">
        <v>140</v>
      </c>
      <c r="C6" s="23">
        <f>1-0</f>
        <v>1</v>
      </c>
      <c r="D6" s="23" t="s">
        <v>155</v>
      </c>
      <c r="E6" s="23">
        <f>301-100</f>
        <v>201</v>
      </c>
      <c r="F6" s="23" t="s">
        <v>170</v>
      </c>
      <c r="G6" s="23">
        <f>54-23</f>
        <v>31</v>
      </c>
      <c r="H6" s="21" t="s">
        <v>120</v>
      </c>
      <c r="I6" s="23">
        <f>63-12</f>
        <v>51</v>
      </c>
      <c r="J6" s="79"/>
    </row>
    <row r="7" spans="1:10">
      <c r="A7" s="66"/>
      <c r="B7" s="24" t="s">
        <v>141</v>
      </c>
      <c r="C7" s="24">
        <f>3-0</f>
        <v>3</v>
      </c>
      <c r="D7" s="24" t="s">
        <v>156</v>
      </c>
      <c r="E7" s="24">
        <f>254-3</f>
        <v>251</v>
      </c>
      <c r="F7" s="24" t="s">
        <v>171</v>
      </c>
      <c r="G7" s="24">
        <f>76-0</f>
        <v>76</v>
      </c>
      <c r="H7" s="14" t="s">
        <v>121</v>
      </c>
      <c r="I7" s="24">
        <f>77-0</f>
        <v>77</v>
      </c>
      <c r="J7" s="65"/>
    </row>
    <row r="8" spans="1:10">
      <c r="A8" s="66"/>
      <c r="B8" s="24" t="s">
        <v>142</v>
      </c>
      <c r="C8" s="24">
        <f>4+6-0</f>
        <v>10</v>
      </c>
      <c r="D8" s="24" t="s">
        <v>157</v>
      </c>
      <c r="E8" s="24">
        <f>538+263-2</f>
        <v>799</v>
      </c>
      <c r="F8" s="24" t="s">
        <v>172</v>
      </c>
      <c r="G8" s="24">
        <f>152+67-2</f>
        <v>217</v>
      </c>
      <c r="H8" s="14" t="s">
        <v>122</v>
      </c>
      <c r="I8" s="24">
        <f>118+76</f>
        <v>194</v>
      </c>
      <c r="J8" s="65"/>
    </row>
    <row r="9" spans="1:10">
      <c r="A9" s="66"/>
      <c r="B9" s="24" t="s">
        <v>143</v>
      </c>
      <c r="C9" s="24">
        <f>1+1-0</f>
        <v>2</v>
      </c>
      <c r="D9" s="24" t="s">
        <v>158</v>
      </c>
      <c r="E9" s="24">
        <f>136+81-0</f>
        <v>217</v>
      </c>
      <c r="F9" s="24" t="s">
        <v>173</v>
      </c>
      <c r="G9" s="24">
        <f>38+21-0</f>
        <v>59</v>
      </c>
      <c r="H9" s="14" t="s">
        <v>123</v>
      </c>
      <c r="I9" s="24">
        <f>29+16</f>
        <v>45</v>
      </c>
      <c r="J9" s="65"/>
    </row>
    <row r="10" spans="1:10">
      <c r="A10" s="66"/>
      <c r="B10" s="24" t="s">
        <v>144</v>
      </c>
      <c r="C10" s="24">
        <f>1+3-0</f>
        <v>4</v>
      </c>
      <c r="D10" s="24" t="s">
        <v>159</v>
      </c>
      <c r="E10" s="24">
        <f>45+61-0</f>
        <v>106</v>
      </c>
      <c r="F10" s="24" t="s">
        <v>174</v>
      </c>
      <c r="G10" s="24">
        <f>9+13-0</f>
        <v>22</v>
      </c>
      <c r="H10" s="14" t="s">
        <v>124</v>
      </c>
      <c r="I10" s="24">
        <f>12+18</f>
        <v>30</v>
      </c>
      <c r="J10" s="65"/>
    </row>
    <row r="11" spans="1:10">
      <c r="A11" s="66"/>
      <c r="B11" s="25" t="s">
        <v>1</v>
      </c>
      <c r="C11" s="25">
        <f>SUM(C6:C10)</f>
        <v>20</v>
      </c>
      <c r="D11" s="25"/>
      <c r="E11" s="25">
        <f>SUM(E6:E10)</f>
        <v>1574</v>
      </c>
      <c r="F11" s="25"/>
      <c r="G11" s="25">
        <f>SUM(G6:G10)</f>
        <v>405</v>
      </c>
      <c r="H11" s="25"/>
      <c r="I11" s="26">
        <f>SUM(I6:I10)</f>
        <v>397</v>
      </c>
      <c r="J11" s="27">
        <f>C11+E11+G11+I11</f>
        <v>2396</v>
      </c>
    </row>
    <row r="12" spans="1:10">
      <c r="A12" s="66" t="s">
        <v>3</v>
      </c>
      <c r="B12" s="24" t="s">
        <v>145</v>
      </c>
      <c r="C12" s="24">
        <f>1-1</f>
        <v>0</v>
      </c>
      <c r="D12" s="24" t="s">
        <v>120</v>
      </c>
      <c r="E12" s="24">
        <f>113-63</f>
        <v>50</v>
      </c>
      <c r="F12" s="24" t="s">
        <v>175</v>
      </c>
      <c r="G12" s="24">
        <f>28-14</f>
        <v>14</v>
      </c>
      <c r="H12" s="14" t="s">
        <v>130</v>
      </c>
      <c r="I12" s="24">
        <f>26-12</f>
        <v>14</v>
      </c>
      <c r="J12" s="65"/>
    </row>
    <row r="13" spans="1:10">
      <c r="A13" s="66"/>
      <c r="B13" s="24" t="s">
        <v>146</v>
      </c>
      <c r="C13" s="24">
        <f>0-0</f>
        <v>0</v>
      </c>
      <c r="D13" s="24" t="s">
        <v>121</v>
      </c>
      <c r="E13" s="24">
        <f>69-2</f>
        <v>67</v>
      </c>
      <c r="F13" s="24" t="s">
        <v>176</v>
      </c>
      <c r="G13" s="24">
        <f>19-0</f>
        <v>19</v>
      </c>
      <c r="H13" s="14" t="s">
        <v>131</v>
      </c>
      <c r="I13" s="24">
        <f>13</f>
        <v>13</v>
      </c>
      <c r="J13" s="65"/>
    </row>
    <row r="14" spans="1:10">
      <c r="A14" s="66"/>
      <c r="B14" s="24" t="s">
        <v>147</v>
      </c>
      <c r="C14" s="24">
        <f>1+6-0</f>
        <v>7</v>
      </c>
      <c r="D14" s="24" t="s">
        <v>122</v>
      </c>
      <c r="E14" s="24">
        <f>304+176-0</f>
        <v>480</v>
      </c>
      <c r="F14" s="24" t="s">
        <v>177</v>
      </c>
      <c r="G14" s="24">
        <f>51+39-0</f>
        <v>90</v>
      </c>
      <c r="H14" s="14" t="s">
        <v>132</v>
      </c>
      <c r="I14" s="24">
        <f>51+41</f>
        <v>92</v>
      </c>
      <c r="J14" s="65"/>
    </row>
    <row r="15" spans="1:10">
      <c r="A15" s="66"/>
      <c r="B15" s="24" t="s">
        <v>148</v>
      </c>
      <c r="C15" s="24">
        <f>3+0-0</f>
        <v>3</v>
      </c>
      <c r="D15" s="24" t="s">
        <v>123</v>
      </c>
      <c r="E15" s="24">
        <f>91+37-0</f>
        <v>128</v>
      </c>
      <c r="F15" s="24" t="s">
        <v>178</v>
      </c>
      <c r="G15" s="24">
        <f>18+7</f>
        <v>25</v>
      </c>
      <c r="H15" s="14" t="s">
        <v>133</v>
      </c>
      <c r="I15" s="24">
        <f>14+7</f>
        <v>21</v>
      </c>
      <c r="J15" s="65"/>
    </row>
    <row r="16" spans="1:10">
      <c r="A16" s="66"/>
      <c r="B16" s="24" t="s">
        <v>149</v>
      </c>
      <c r="C16" s="24">
        <f>0</f>
        <v>0</v>
      </c>
      <c r="D16" s="24" t="s">
        <v>124</v>
      </c>
      <c r="E16" s="24">
        <f>16+14-0</f>
        <v>30</v>
      </c>
      <c r="F16" s="24" t="s">
        <v>179</v>
      </c>
      <c r="G16" s="24">
        <f>1+4</f>
        <v>5</v>
      </c>
      <c r="H16" s="14" t="s">
        <v>134</v>
      </c>
      <c r="I16" s="24">
        <f>3+1</f>
        <v>4</v>
      </c>
      <c r="J16" s="65"/>
    </row>
    <row r="17" spans="1:10">
      <c r="A17" s="66"/>
      <c r="B17" s="25" t="s">
        <v>1</v>
      </c>
      <c r="C17" s="25">
        <f>SUM(C12:C16)</f>
        <v>10</v>
      </c>
      <c r="D17" s="25"/>
      <c r="E17" s="25">
        <f>SUM(E12:E16)</f>
        <v>755</v>
      </c>
      <c r="F17" s="25"/>
      <c r="G17" s="25">
        <f>SUM(G12:G16)</f>
        <v>153</v>
      </c>
      <c r="H17" s="25"/>
      <c r="I17" s="26">
        <f>SUM(I12:I16)</f>
        <v>144</v>
      </c>
      <c r="J17" s="27">
        <f>C17+E17+G17+I17</f>
        <v>1062</v>
      </c>
    </row>
    <row r="18" spans="1:10">
      <c r="A18" s="66" t="s">
        <v>4</v>
      </c>
      <c r="B18" s="24" t="s">
        <v>150</v>
      </c>
      <c r="C18" s="24">
        <f>0</f>
        <v>0</v>
      </c>
      <c r="D18" s="24" t="s">
        <v>160</v>
      </c>
      <c r="E18" s="24">
        <f>49-26</f>
        <v>23</v>
      </c>
      <c r="F18" s="24" t="s">
        <v>180</v>
      </c>
      <c r="G18" s="24">
        <f>4-3</f>
        <v>1</v>
      </c>
      <c r="H18" s="14" t="s">
        <v>125</v>
      </c>
      <c r="I18" s="24">
        <f>7-6</f>
        <v>1</v>
      </c>
      <c r="J18" s="65"/>
    </row>
    <row r="19" spans="1:10">
      <c r="A19" s="66"/>
      <c r="B19" s="24" t="s">
        <v>151</v>
      </c>
      <c r="C19" s="24">
        <f>0</f>
        <v>0</v>
      </c>
      <c r="D19" s="24" t="s">
        <v>161</v>
      </c>
      <c r="E19" s="24">
        <f>29</f>
        <v>29</v>
      </c>
      <c r="F19" s="24" t="s">
        <v>181</v>
      </c>
      <c r="G19" s="24">
        <f>5-0</f>
        <v>5</v>
      </c>
      <c r="H19" s="14" t="s">
        <v>126</v>
      </c>
      <c r="I19" s="24">
        <v>3</v>
      </c>
      <c r="J19" s="65"/>
    </row>
    <row r="20" spans="1:10">
      <c r="A20" s="66"/>
      <c r="B20" s="24" t="s">
        <v>152</v>
      </c>
      <c r="C20" s="24">
        <f>0</f>
        <v>0</v>
      </c>
      <c r="D20" s="24" t="s">
        <v>162</v>
      </c>
      <c r="E20" s="24">
        <f>118+54</f>
        <v>172</v>
      </c>
      <c r="F20" s="24" t="s">
        <v>182</v>
      </c>
      <c r="G20" s="24">
        <f>18+12</f>
        <v>30</v>
      </c>
      <c r="H20" s="14" t="s">
        <v>127</v>
      </c>
      <c r="I20" s="24">
        <f>21+4</f>
        <v>25</v>
      </c>
      <c r="J20" s="65"/>
    </row>
    <row r="21" spans="1:10">
      <c r="A21" s="66"/>
      <c r="B21" s="24" t="s">
        <v>153</v>
      </c>
      <c r="C21" s="24">
        <f>0</f>
        <v>0</v>
      </c>
      <c r="D21" s="24" t="s">
        <v>163</v>
      </c>
      <c r="E21" s="24">
        <f>26+6</f>
        <v>32</v>
      </c>
      <c r="F21" s="24" t="s">
        <v>183</v>
      </c>
      <c r="G21" s="24">
        <f>8+1</f>
        <v>9</v>
      </c>
      <c r="H21" s="14" t="s">
        <v>128</v>
      </c>
      <c r="I21" s="24">
        <f>6+1</f>
        <v>7</v>
      </c>
      <c r="J21" s="65"/>
    </row>
    <row r="22" spans="1:10">
      <c r="A22" s="66"/>
      <c r="B22" s="24" t="s">
        <v>154</v>
      </c>
      <c r="C22" s="24">
        <f>0</f>
        <v>0</v>
      </c>
      <c r="D22" s="24" t="s">
        <v>164</v>
      </c>
      <c r="E22" s="24">
        <f>5+2</f>
        <v>7</v>
      </c>
      <c r="F22" s="24" t="s">
        <v>184</v>
      </c>
      <c r="G22" s="24">
        <f>1+0</f>
        <v>1</v>
      </c>
      <c r="H22" s="14" t="s">
        <v>129</v>
      </c>
      <c r="I22" s="24">
        <f>1+0</f>
        <v>1</v>
      </c>
      <c r="J22" s="65"/>
    </row>
    <row r="23" spans="1:10">
      <c r="A23" s="66"/>
      <c r="B23" s="25" t="s">
        <v>1</v>
      </c>
      <c r="C23" s="25">
        <f>SUM(C18:C22)</f>
        <v>0</v>
      </c>
      <c r="D23" s="25"/>
      <c r="E23" s="25">
        <f>SUM(E18:E22)</f>
        <v>263</v>
      </c>
      <c r="F23" s="25"/>
      <c r="G23" s="25">
        <f>SUM(G18:G22)</f>
        <v>46</v>
      </c>
      <c r="H23" s="25"/>
      <c r="I23" s="26">
        <f>SUM(I18:I22)</f>
        <v>37</v>
      </c>
      <c r="J23" s="27">
        <f>C23+E23+G23+I23</f>
        <v>346</v>
      </c>
    </row>
    <row r="24" spans="1:10">
      <c r="A24" s="66" t="s">
        <v>5</v>
      </c>
      <c r="B24" s="24" t="s">
        <v>120</v>
      </c>
      <c r="C24" s="24">
        <v>0</v>
      </c>
      <c r="D24" s="24" t="s">
        <v>165</v>
      </c>
      <c r="E24" s="24">
        <v>7</v>
      </c>
      <c r="F24" s="24" t="s">
        <v>185</v>
      </c>
      <c r="G24" s="24">
        <f>1</f>
        <v>1</v>
      </c>
      <c r="H24" s="14" t="s">
        <v>135</v>
      </c>
      <c r="I24" s="24">
        <v>2</v>
      </c>
      <c r="J24" s="65"/>
    </row>
    <row r="25" spans="1:10">
      <c r="A25" s="66"/>
      <c r="B25" s="24" t="s">
        <v>121</v>
      </c>
      <c r="C25" s="24">
        <v>0</v>
      </c>
      <c r="D25" s="24" t="s">
        <v>166</v>
      </c>
      <c r="E25" s="24">
        <v>8</v>
      </c>
      <c r="F25" s="24" t="s">
        <v>186</v>
      </c>
      <c r="G25" s="24">
        <v>1</v>
      </c>
      <c r="H25" s="14" t="s">
        <v>136</v>
      </c>
      <c r="I25" s="24">
        <v>1</v>
      </c>
      <c r="J25" s="65"/>
    </row>
    <row r="26" spans="1:10">
      <c r="A26" s="66"/>
      <c r="B26" s="24" t="s">
        <v>122</v>
      </c>
      <c r="C26" s="24">
        <v>0</v>
      </c>
      <c r="D26" s="24" t="s">
        <v>167</v>
      </c>
      <c r="E26" s="24">
        <f>53+19</f>
        <v>72</v>
      </c>
      <c r="F26" s="24" t="s">
        <v>187</v>
      </c>
      <c r="G26" s="24">
        <f>14+3</f>
        <v>17</v>
      </c>
      <c r="H26" s="14" t="s">
        <v>137</v>
      </c>
      <c r="I26" s="24">
        <f>3+3</f>
        <v>6</v>
      </c>
      <c r="J26" s="65"/>
    </row>
    <row r="27" spans="1:10">
      <c r="A27" s="66"/>
      <c r="B27" s="24" t="s">
        <v>123</v>
      </c>
      <c r="C27" s="24">
        <v>0</v>
      </c>
      <c r="D27" s="24" t="s">
        <v>168</v>
      </c>
      <c r="E27" s="24">
        <f>4+2</f>
        <v>6</v>
      </c>
      <c r="F27" s="24" t="s">
        <v>188</v>
      </c>
      <c r="G27" s="24">
        <f>2+0</f>
        <v>2</v>
      </c>
      <c r="H27" s="14" t="s">
        <v>138</v>
      </c>
      <c r="I27" s="24">
        <f>2+0</f>
        <v>2</v>
      </c>
      <c r="J27" s="65"/>
    </row>
    <row r="28" spans="1:10">
      <c r="A28" s="66"/>
      <c r="B28" s="24" t="s">
        <v>124</v>
      </c>
      <c r="C28" s="24">
        <v>0</v>
      </c>
      <c r="D28" s="24" t="s">
        <v>169</v>
      </c>
      <c r="E28" s="24">
        <f>1+0</f>
        <v>1</v>
      </c>
      <c r="F28" s="24" t="s">
        <v>189</v>
      </c>
      <c r="G28" s="24">
        <f>0+0</f>
        <v>0</v>
      </c>
      <c r="H28" s="14" t="s">
        <v>139</v>
      </c>
      <c r="I28" s="24">
        <f>1+0</f>
        <v>1</v>
      </c>
      <c r="J28" s="65"/>
    </row>
    <row r="29" spans="1:10" ht="13.5" thickBot="1">
      <c r="A29" s="67"/>
      <c r="B29" s="28" t="s">
        <v>1</v>
      </c>
      <c r="C29" s="28">
        <f>SUM(C24:C28)</f>
        <v>0</v>
      </c>
      <c r="D29" s="28"/>
      <c r="E29" s="28">
        <f>SUM(E24:E28)</f>
        <v>94</v>
      </c>
      <c r="F29" s="28"/>
      <c r="G29" s="28">
        <f>SUM(G24:G28)</f>
        <v>21</v>
      </c>
      <c r="H29" s="28"/>
      <c r="I29" s="29">
        <f>SUM(I24:I28)</f>
        <v>12</v>
      </c>
      <c r="J29" s="30">
        <f>C29+E29+G29+I29</f>
        <v>127</v>
      </c>
    </row>
    <row r="30" spans="1:10" ht="13.5" thickBot="1">
      <c r="A30" s="31" t="s">
        <v>1</v>
      </c>
      <c r="B30" s="32"/>
      <c r="C30" s="33">
        <f>C11+C17+C23+C29</f>
        <v>30</v>
      </c>
      <c r="D30" s="33"/>
      <c r="E30" s="33">
        <f>E11+E17+E23+E29</f>
        <v>2686</v>
      </c>
      <c r="F30" s="33"/>
      <c r="G30" s="33">
        <f>G11+G17+G23+G29</f>
        <v>625</v>
      </c>
      <c r="H30" s="33"/>
      <c r="I30" s="33">
        <f>I11+I17+I23+I29</f>
        <v>590</v>
      </c>
      <c r="J30" s="34">
        <f>C30+E30+G30+I30</f>
        <v>3931</v>
      </c>
    </row>
    <row r="31" spans="1:10">
      <c r="A31" s="85"/>
      <c r="B31" s="86"/>
      <c r="C31" s="35"/>
      <c r="D31" s="35"/>
      <c r="E31" s="35"/>
      <c r="F31" s="35"/>
      <c r="G31" s="35"/>
      <c r="H31" s="35"/>
      <c r="I31" s="35"/>
      <c r="J31" s="37"/>
    </row>
    <row r="32" spans="1:10">
      <c r="A32" s="80" t="s">
        <v>119</v>
      </c>
      <c r="B32" s="81"/>
      <c r="C32" s="39"/>
      <c r="D32" s="39"/>
      <c r="E32" s="39"/>
      <c r="F32" s="39"/>
    </row>
    <row r="33" spans="1:10">
      <c r="A33" s="36"/>
      <c r="B33" s="36"/>
    </row>
    <row r="34" spans="1:10">
      <c r="A34" s="36"/>
      <c r="B34" s="36"/>
    </row>
    <row r="35" spans="1:10">
      <c r="A35" s="82">
        <v>44305</v>
      </c>
      <c r="B35" s="36"/>
      <c r="G35" s="63" t="s">
        <v>9</v>
      </c>
      <c r="H35" s="64"/>
      <c r="I35" s="64"/>
      <c r="J35" s="64"/>
    </row>
    <row r="36" spans="1:10">
      <c r="A36" s="83" t="s">
        <v>117</v>
      </c>
      <c r="B36" s="83"/>
      <c r="G36" s="63" t="s">
        <v>10</v>
      </c>
      <c r="H36" s="64"/>
      <c r="I36" s="64"/>
      <c r="J36" s="64"/>
    </row>
    <row r="37" spans="1:10">
      <c r="A37" s="36"/>
      <c r="B37" s="36"/>
    </row>
    <row r="38" spans="1:10">
      <c r="A38" s="36"/>
      <c r="B38" s="36"/>
    </row>
    <row r="39" spans="1:10">
      <c r="A39" s="84"/>
      <c r="B39" s="36"/>
    </row>
    <row r="40" spans="1:10">
      <c r="A40" s="36"/>
      <c r="B40" s="36"/>
    </row>
    <row r="41" spans="1:10">
      <c r="A41" s="36"/>
      <c r="B41" s="36"/>
    </row>
    <row r="42" spans="1:10">
      <c r="A42" s="36"/>
      <c r="B42" s="36"/>
    </row>
    <row r="43" spans="1:10">
      <c r="A43" s="36"/>
      <c r="B43" s="36"/>
    </row>
    <row r="44" spans="1:10">
      <c r="A44" s="36"/>
      <c r="B44" s="36"/>
    </row>
    <row r="45" spans="1:10">
      <c r="A45" s="36"/>
      <c r="B45" s="36"/>
    </row>
  </sheetData>
  <mergeCells count="22">
    <mergeCell ref="G36:J36"/>
    <mergeCell ref="J12:J16"/>
    <mergeCell ref="A24:A29"/>
    <mergeCell ref="J24:J28"/>
    <mergeCell ref="A36:B36"/>
    <mergeCell ref="G35:J35"/>
    <mergeCell ref="A18:A23"/>
    <mergeCell ref="J18:J22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1"/>
    <mergeCell ref="J6:J10"/>
    <mergeCell ref="A12:A17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122018</vt:lpstr>
      <vt:lpstr>122019</vt:lpstr>
      <vt:lpstr>ANK122019</vt:lpstr>
      <vt:lpstr>122020</vt:lpstr>
      <vt:lpstr>ANK122020</vt:lpstr>
      <vt:lpstr>'ANK122020'!Print_Area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mailia</cp:lastModifiedBy>
  <cp:lastPrinted>2021-12-22T08:30:54Z</cp:lastPrinted>
  <dcterms:created xsi:type="dcterms:W3CDTF">2001-06-20T08:02:38Z</dcterms:created>
  <dcterms:modified xsi:type="dcterms:W3CDTF">2021-12-22T08:30:55Z</dcterms:modified>
</cp:coreProperties>
</file>