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60" windowWidth="9540" windowHeight="5085" firstSheet="4" activeTab="4"/>
  </bookViews>
  <sheets>
    <sheet name="appl. by district,sex, month" sheetId="1" r:id="rId1"/>
    <sheet name="appl. by district, month 12-13" sheetId="2" r:id="rId2"/>
    <sheet name="applicants by sex,month 12-13" sheetId="3" r:id="rId3"/>
    <sheet name="applicants by month 2006-2013" sheetId="4" r:id="rId4"/>
    <sheet name="benef., by month and com 11-13" sheetId="5" r:id="rId5"/>
    <sheet name="benef., amount by month 09-13" sheetId="6" r:id="rId6"/>
    <sheet name="by ec.activity 01-13" sheetId="7" r:id="rId7"/>
    <sheet name="by ec.activity 02-13" sheetId="8" r:id="rId8"/>
    <sheet name="by ec.activity 03-13" sheetId="9" r:id="rId9"/>
    <sheet name="by ec.activity 04-13" sheetId="10" r:id="rId10"/>
    <sheet name="by ec.activity 05-13" sheetId="11" r:id="rId11"/>
    <sheet name="by ec.activity 06-13" sheetId="12" r:id="rId12"/>
    <sheet name="by ec.activity 07-13" sheetId="13" r:id="rId13"/>
    <sheet name="by ec.activity 08-13" sheetId="14" r:id="rId14"/>
    <sheet name="by ec.activity 09-13" sheetId="15" r:id="rId15"/>
    <sheet name="by ec.activity 10-13" sheetId="16" r:id="rId16"/>
    <sheet name="by ec.activity 11-13" sheetId="17" r:id="rId17"/>
    <sheet name="by ec.activity 12-13" sheetId="18" r:id="rId18"/>
  </sheets>
  <definedNames/>
  <calcPr fullCalcOnLoad="1"/>
</workbook>
</file>

<file path=xl/sharedStrings.xml><?xml version="1.0" encoding="utf-8"?>
<sst xmlns="http://schemas.openxmlformats.org/spreadsheetml/2006/main" count="693" uniqueCount="124">
  <si>
    <t>12356*</t>
  </si>
  <si>
    <t xml:space="preserve">  </t>
  </si>
  <si>
    <t xml:space="preserve"> </t>
  </si>
  <si>
    <t>A/A</t>
  </si>
  <si>
    <t>Agriculture, forestry and fishing</t>
  </si>
  <si>
    <t>Mining and quarrying</t>
  </si>
  <si>
    <t>Manufacturing</t>
  </si>
  <si>
    <t>Electricity, gas, steam and airconditioning supply</t>
  </si>
  <si>
    <t>Water supply; Sewerage, waste management and remediation activities</t>
  </si>
  <si>
    <t>Construction</t>
  </si>
  <si>
    <t xml:space="preserve">Wholesale and Retail trade; Repair of motor vehicles, motorcycles </t>
  </si>
  <si>
    <t>Trasportation and storage</t>
  </si>
  <si>
    <t>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</si>
  <si>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</si>
  <si>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</si>
  <si>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</si>
  <si>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</si>
  <si>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</si>
  <si>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</si>
  <si>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</si>
  <si>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</si>
  <si>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</si>
  <si>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</si>
  <si>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 - and services - producing activities of households for own use</t>
  </si>
  <si>
    <t>Activities of extraterritorial organizations and bodies</t>
  </si>
  <si>
    <t>Not stated</t>
  </si>
  <si>
    <t>TOTAL</t>
  </si>
  <si>
    <t>UNEMPLOYMENT STATUS</t>
  </si>
  <si>
    <t>LAY-OFF</t>
  </si>
  <si>
    <t>TERMINATION</t>
  </si>
  <si>
    <t>OTHER</t>
  </si>
  <si>
    <t>ECONOMIC ACTIVITY (NACE 2)</t>
  </si>
  <si>
    <t>HOSPITALITY INDUSTRY</t>
  </si>
  <si>
    <t>MANUFACTURE</t>
  </si>
  <si>
    <t>STATISTICS SECTION</t>
  </si>
  <si>
    <t>SOCIAL INSURANCE SERVICES</t>
  </si>
  <si>
    <t>% change in number of persons 2009/2008</t>
  </si>
  <si>
    <t>% change in number of persons 2010/2009</t>
  </si>
  <si>
    <t>% change in number of persons 2011/2010</t>
  </si>
  <si>
    <t>MONTH</t>
  </si>
  <si>
    <t>JANUARY</t>
  </si>
  <si>
    <t>FEBRUARY</t>
  </si>
  <si>
    <t>MARCH</t>
  </si>
  <si>
    <t>APRIL</t>
  </si>
  <si>
    <t>MAY</t>
  </si>
  <si>
    <t>JUNE</t>
  </si>
  <si>
    <t>Number of persons</t>
  </si>
  <si>
    <t>Amount paid (€) *</t>
  </si>
  <si>
    <t>% change in number of persons 2012/2011</t>
  </si>
  <si>
    <t>JULY</t>
  </si>
  <si>
    <t>AUGUST</t>
  </si>
  <si>
    <t>SEPTEMBER</t>
  </si>
  <si>
    <t>OCTOBER</t>
  </si>
  <si>
    <t>NOVEMBER</t>
  </si>
  <si>
    <t>DECEMBER</t>
  </si>
  <si>
    <t>ANNUAL EXPENDITURE €**</t>
  </si>
  <si>
    <t>**  Annual expenditure is according to final accounts of Social Insurance Fund.</t>
  </si>
  <si>
    <t>MEAN MONTHLY NUMBER OF PERSONS AND TOTAL AMOUNT PAID DURING A' SEMESTER</t>
  </si>
  <si>
    <t>MEAN MONTHLY NUMBER OF PERSONS AND TOTAL AMOUNT PAID DURING B' SEMESTER</t>
  </si>
  <si>
    <t>MEAN MONTHLY NUMBER OF PERSONS AND TOTAL AMOUNT PAID DURING THE YEAR</t>
  </si>
  <si>
    <t xml:space="preserve"> * Amount paid refers to monthly expenditure and not the corresponding amount of the beneficiaries shown above due to:</t>
  </si>
  <si>
    <t>2. Part of the amount refers to retrospective payments.</t>
  </si>
  <si>
    <t>1. Beneficiaries are not necessarily paid at the month of the eligibility of the benefit,</t>
  </si>
  <si>
    <t>Greek-cypriots and others</t>
  </si>
  <si>
    <t>Turkish-cypriots</t>
  </si>
  <si>
    <t>Total</t>
  </si>
  <si>
    <t>% change of total 2011/2010</t>
  </si>
  <si>
    <t>% change of total 2012/2011</t>
  </si>
  <si>
    <t>MEAN MONTHLY NUMBER OF PERSONS DURING A' SEMESTER</t>
  </si>
  <si>
    <t>MEAN MONTHLY NUMBER OF PERSONS DURING B' SEMESTER</t>
  </si>
  <si>
    <t>MEAN MONTHLY NUMBER OF PERSONS DURING THE YEAR</t>
  </si>
  <si>
    <t xml:space="preserve">*  In the above number aliens or E.U. citizens that live permanently in Cyprus may be included.  </t>
  </si>
  <si>
    <t>Aliens*</t>
  </si>
  <si>
    <t>E.U. citizens*</t>
  </si>
  <si>
    <t>% change 2012/2011</t>
  </si>
  <si>
    <t>PERCENTAGE</t>
  </si>
  <si>
    <t>MALES</t>
  </si>
  <si>
    <t>FEMALES</t>
  </si>
  <si>
    <t>NICOSIA</t>
  </si>
  <si>
    <t>LARNACA</t>
  </si>
  <si>
    <t>FAMAGUSTA</t>
  </si>
  <si>
    <t>LIMASSOL</t>
  </si>
  <si>
    <t>PAPHOS</t>
  </si>
  <si>
    <t>% CHANGE</t>
  </si>
  <si>
    <t>% OF TOTAL</t>
  </si>
  <si>
    <t>Port-workers</t>
  </si>
  <si>
    <t>N.A</t>
  </si>
  <si>
    <t xml:space="preserve"> NUMBER OF PERSONS WHO APPLIED FOR UNEMPLOYMENT BENEFIT BY MONTH FOR THE YEARS 2006 - 2013</t>
  </si>
  <si>
    <t>% change 2013/2012</t>
  </si>
  <si>
    <t>NUMBER OF PERSONS WHO APPLIED FOR UNEMPLOYMENT BENEFIT DURING 2013 BY DISTRICT, SEX AND MONTH</t>
  </si>
  <si>
    <t>TOTAL 2013</t>
  </si>
  <si>
    <t xml:space="preserve">NUMBER OF PERSONS WHO APPLIED FOR UNEMPLOYMENT BENEFIT FOR THE YEARS 2012 - 2013 BY SEX AND MONTH </t>
  </si>
  <si>
    <t>% change in number of persons 2013/2012</t>
  </si>
  <si>
    <t xml:space="preserve">NUMBER OF BENEFICIARIES OF UNEMPLOYMENT BENEFIT AND EXPENDITURE* DURING 2010 - 2013 BY MONTH </t>
  </si>
  <si>
    <t>NUMBER OF PERSONS WHO APPLIED FOR UNEMPLOYMENT BENEFIT FOR THE YEARS 2012-2013 BY DISTRICT AND MONTH</t>
  </si>
  <si>
    <t>% change of total 2013/2012</t>
  </si>
  <si>
    <t>NUMBER OF PERSONS WHO APPLIED FOR UNEMPLOYMENT BENEFIT BY ECONOMIC ACTIVITY AND UNEMPLOYMENT STATUS, NOVEMBER 2013</t>
  </si>
  <si>
    <t>NUMBER OF PERSONS WHO APPLIED FOR UNEMPLOYMENT BENEFIT BY ECONOMIC ACTIVITY AND UNEMPLOYMENT STATUS, JANUARY 2013</t>
  </si>
  <si>
    <t>NUMBER OF PERSONS WHO APPLIED FOR UNEMPLOYMENT BENEFIT BY ECONOMIC ACTIVITY AND UNEMPLOYMENT STATUS, FEBRUARY 2013</t>
  </si>
  <si>
    <t>Unemployment benefit by economic activity 2013</t>
  </si>
  <si>
    <t>TABLE 7.1</t>
  </si>
  <si>
    <t>TABLE 7.2</t>
  </si>
  <si>
    <t>TABLE 7.3</t>
  </si>
  <si>
    <t>TABLE 7.4</t>
  </si>
  <si>
    <t>NUMBER OF PERSONS WHO APPLIED FOR UNEMPLOYMENT BENEFIT BY ECONOMIC ACTIVITY AND UNEMPLOYMENT STATUS, MARCH 2013</t>
  </si>
  <si>
    <t>NUMBER OF PERSONS WHO APPLIED FOR UNEMPLOYMENT BENEFIT BY ECONOMIC ACTIVITY AND UNEMPLOYMENT STATUS, APRIL 2013</t>
  </si>
  <si>
    <t>TABLE 7.5</t>
  </si>
  <si>
    <t>NUMBER OF PERSONS WHO APPLIED FOR UNEMPLOYMENT BENEFIT BY ECONOMIC ACTIVITY AND UNEMPLOYMENT STATUS, MAY 2013</t>
  </si>
  <si>
    <t>Unemployment benefit by economic activity 2013 (Jan-June)</t>
  </si>
  <si>
    <t>TABLE 7.6</t>
  </si>
  <si>
    <t>NUMBER OF PERSONS WHO APPLIED FOR UNEMPLOYMENT BENEFIT BY ECONOMIC ACTIVITY AND UNEMPLOYMENT STATUS, JUNE 2013</t>
  </si>
  <si>
    <t>Unemployment benefit by economic activity 2013 (Jan-Dec)</t>
  </si>
  <si>
    <t>TABLE 7.7</t>
  </si>
  <si>
    <t>NUMBER OF PERSONS WHO APPLIED FOR UNEMPLOYMENT BENEFIT BY ECONOMIC ACTIVITY AND UNEMPLOYMENT STATUS, JULY 2013</t>
  </si>
  <si>
    <t>TABLE 7.8</t>
  </si>
  <si>
    <t>NUMBER OF PERSONS WHO APPLIED FOR UNEMPLOYMENT BENEFIT BY ECONOMIC ACTIVITY AND UNEMPLOYMENT STATUS, AUGUST 2013</t>
  </si>
  <si>
    <t>TABLE 7.9</t>
  </si>
  <si>
    <t>NUMBER OF PERSONS WHO APPLIED FOR UNEMPLOYMENT BENEFIT BY ECONOMIC ACTIVITY AND UNEMPLOYMENT STATUS, SEPTEMBER 2013</t>
  </si>
  <si>
    <t>TABLE 7.10</t>
  </si>
  <si>
    <t>NUMBER OF PERSONS WHO APPLIED FOR UNEMPLOYMENT BENEFIT BY ECONOMIC ACTIVITY AND UNEMPLOYMENT STATUS, OCTOBER 2013</t>
  </si>
  <si>
    <t>TABLE 7.11</t>
  </si>
  <si>
    <t>NUMBER OF PERSONS WHO APPLIED FOR UNEMPLOYMENT BENEFIT BY ECONOMIC ACTIVITY AND UNEMPLOYMENT STATUS, DECEMBER 2013</t>
  </si>
  <si>
    <t>TABLE 7.12</t>
  </si>
  <si>
    <t>NUMBER OF BENEFICIARIES OF UNEMPLOYMENT BENEFIT FROM THE SOCIAL INSURANCE FUND BY MONTH, COMMUNITY AND YEAR, 2011 - 2013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</si>
</sst>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[$-409]d\-mmm\-yy;@"/>
    <numFmt numFmtId="190" formatCode="[$-409]dddd\,\ mmmm\ dd\,\ yyyy"/>
    <numFmt numFmtId="191" formatCode="d/m;@"/>
    <numFmt numFmtId="192" formatCode="[$-408]d\-mmm\-yy;@"/>
    <numFmt numFmtId="193" formatCode="[$-408]dd\-mmm\-yy;@"/>
    <numFmt numFmtId="194" formatCode="#,##0.00\ [$CYP]"/>
    <numFmt numFmtId="195" formatCode="0.0"/>
    <numFmt numFmtId="196" formatCode="[$-408]dddd\,\ d\ mmmm\ yyyy"/>
    <numFmt numFmtId="197" formatCode="d/m/yy;@"/>
    <numFmt numFmtId="198" formatCode="0.000000"/>
    <numFmt numFmtId="199" formatCode="0.00000"/>
    <numFmt numFmtId="200" formatCode="0.0000"/>
    <numFmt numFmtId="201" formatCode="[$-1809]d\ mmmm\ yyyy;@"/>
    <numFmt numFmtId="202" formatCode="dd/mm/yyyy;@"/>
    <numFmt numFmtId="203" formatCode="[$-C09]dd\-mmm\-yy;@"/>
    <numFmt numFmtId="204" formatCode="0.000"/>
    <numFmt numFmtId="205" formatCode="[$€-2]\ #,##0;[Red]\-[$€-2]\ #,##0"/>
    <numFmt numFmtId="206" formatCode="_-* #,##0.0\ _€_-;\-* #,##0.0\ _€_-;_-* &quot;-&quot;\ _€_-;_-@_-"/>
    <numFmt numFmtId="207" formatCode="_-* #,##0.0\ _€_-;\-* #,##0.0\ _€_-;_-* &quot;-&quot;?\ _€_-;_-@_-"/>
    <numFmt numFmtId="208" formatCode="[$€-2]\ #,##0.00;[Red]\-[$€-2]\ #,##0.00"/>
    <numFmt numFmtId="209" formatCode="[$€-2]\ #,##0.0;[Red]\-[$€-2]\ #,##0.0"/>
    <numFmt numFmtId="210" formatCode="#,##0_ ;\-#,##0\ "/>
    <numFmt numFmtId="211" formatCode="0.000%"/>
    <numFmt numFmtId="212" formatCode="[$-409]dd\-mmm\-yy;@"/>
    <numFmt numFmtId="213" formatCode="[$-809]dd\ mmmm\ yyyy"/>
    <numFmt numFmtId="214" formatCode="[$-408]h:mm:ss\ AM/PM"/>
    <numFmt numFmtId="215" formatCode="[$-F800]dddd\,\ mmmm\ dd\,\ yyyy"/>
    <numFmt numFmtId="216" formatCode="[$-809]dd\ mmmm\ yyyy;@"/>
    <numFmt numFmtId="217" formatCode="[$-809]d\ mmmm\ yyyy;@"/>
    <numFmt numFmtId="218" formatCode="dd/mm/yy;@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0" xfId="6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2" fontId="0" fillId="0" borderId="0" xfId="0" applyNumberFormat="1" applyAlignment="1">
      <alignment horizontal="left"/>
    </xf>
    <xf numFmtId="192" fontId="7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left"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185" fontId="1" fillId="0" borderId="25" xfId="0" applyNumberFormat="1" applyFont="1" applyBorder="1" applyAlignment="1">
      <alignment/>
    </xf>
    <xf numFmtId="185" fontId="1" fillId="0" borderId="26" xfId="0" applyNumberFormat="1" applyFont="1" applyBorder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85" fontId="1" fillId="0" borderId="25" xfId="0" applyNumberFormat="1" applyFont="1" applyBorder="1" applyAlignment="1">
      <alignment/>
    </xf>
    <xf numFmtId="185" fontId="1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0" xfId="0" applyFont="1" applyAlignment="1">
      <alignment/>
    </xf>
    <xf numFmtId="185" fontId="1" fillId="0" borderId="2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188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2" fillId="0" borderId="3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88" fontId="1" fillId="0" borderId="31" xfId="60" applyNumberFormat="1" applyFont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4" fillId="0" borderId="35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85" fontId="1" fillId="0" borderId="29" xfId="0" applyNumberFormat="1" applyFont="1" applyBorder="1" applyAlignment="1">
      <alignment/>
    </xf>
    <xf numFmtId="185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36" xfId="0" applyFont="1" applyBorder="1" applyAlignment="1">
      <alignment/>
    </xf>
    <xf numFmtId="185" fontId="1" fillId="0" borderId="37" xfId="0" applyNumberFormat="1" applyFont="1" applyBorder="1" applyAlignment="1">
      <alignment/>
    </xf>
    <xf numFmtId="185" fontId="1" fillId="0" borderId="37" xfId="0" applyNumberFormat="1" applyFont="1" applyBorder="1" applyAlignment="1">
      <alignment/>
    </xf>
    <xf numFmtId="0" fontId="4" fillId="0" borderId="38" xfId="0" applyFont="1" applyBorder="1" applyAlignment="1">
      <alignment wrapText="1"/>
    </xf>
    <xf numFmtId="185" fontId="1" fillId="0" borderId="39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85" fontId="1" fillId="0" borderId="39" xfId="0" applyNumberFormat="1" applyFont="1" applyBorder="1" applyAlignment="1">
      <alignment horizontal="center"/>
    </xf>
    <xf numFmtId="185" fontId="2" fillId="0" borderId="31" xfId="0" applyNumberFormat="1" applyFont="1" applyBorder="1" applyAlignment="1">
      <alignment horizontal="center"/>
    </xf>
    <xf numFmtId="188" fontId="2" fillId="0" borderId="0" xfId="60" applyNumberFormat="1" applyFont="1" applyBorder="1" applyAlignment="1">
      <alignment horizontal="center"/>
    </xf>
    <xf numFmtId="188" fontId="2" fillId="0" borderId="31" xfId="6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0" fontId="1" fillId="0" borderId="42" xfId="0" applyFont="1" applyBorder="1" applyAlignment="1">
      <alignment wrapText="1"/>
    </xf>
    <xf numFmtId="0" fontId="2" fillId="0" borderId="35" xfId="0" applyFont="1" applyBorder="1" applyAlignment="1">
      <alignment wrapText="1"/>
    </xf>
    <xf numFmtId="3" fontId="2" fillId="0" borderId="43" xfId="0" applyNumberFormat="1" applyFont="1" applyBorder="1" applyAlignment="1">
      <alignment wrapText="1"/>
    </xf>
    <xf numFmtId="185" fontId="2" fillId="0" borderId="44" xfId="0" applyNumberFormat="1" applyFont="1" applyBorder="1" applyAlignment="1">
      <alignment/>
    </xf>
    <xf numFmtId="1" fontId="2" fillId="0" borderId="4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185" fontId="2" fillId="0" borderId="46" xfId="0" applyNumberFormat="1" applyFont="1" applyBorder="1" applyAlignment="1">
      <alignment/>
    </xf>
    <xf numFmtId="185" fontId="2" fillId="0" borderId="0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85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88" fontId="1" fillId="0" borderId="0" xfId="60" applyNumberFormat="1" applyFont="1" applyBorder="1" applyAlignment="1">
      <alignment horizontal="center"/>
    </xf>
    <xf numFmtId="188" fontId="2" fillId="0" borderId="47" xfId="60" applyNumberFormat="1" applyFont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" fontId="3" fillId="0" borderId="49" xfId="0" applyNumberFormat="1" applyFont="1" applyBorder="1" applyAlignment="1">
      <alignment horizontal="right"/>
    </xf>
    <xf numFmtId="1" fontId="3" fillId="0" borderId="50" xfId="0" applyNumberFormat="1" applyFont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51" xfId="0" applyFont="1" applyBorder="1" applyAlignment="1">
      <alignment horizontal="center"/>
    </xf>
    <xf numFmtId="188" fontId="1" fillId="0" borderId="52" xfId="60" applyNumberFormat="1" applyFont="1" applyBorder="1" applyAlignment="1">
      <alignment horizontal="center"/>
    </xf>
    <xf numFmtId="188" fontId="1" fillId="0" borderId="53" xfId="60" applyNumberFormat="1" applyFont="1" applyBorder="1" applyAlignment="1">
      <alignment horizontal="center"/>
    </xf>
    <xf numFmtId="188" fontId="1" fillId="0" borderId="54" xfId="60" applyNumberFormat="1" applyFont="1" applyBorder="1" applyAlignment="1">
      <alignment horizontal="center"/>
    </xf>
    <xf numFmtId="188" fontId="1" fillId="0" borderId="55" xfId="60" applyNumberFormat="1" applyFont="1" applyBorder="1" applyAlignment="1">
      <alignment horizontal="center"/>
    </xf>
    <xf numFmtId="188" fontId="1" fillId="0" borderId="56" xfId="60" applyNumberFormat="1" applyFont="1" applyBorder="1" applyAlignment="1">
      <alignment horizontal="center"/>
    </xf>
    <xf numFmtId="185" fontId="1" fillId="0" borderId="22" xfId="0" applyNumberFormat="1" applyFont="1" applyBorder="1" applyAlignment="1">
      <alignment horizontal="center"/>
    </xf>
    <xf numFmtId="185" fontId="1" fillId="0" borderId="23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5" fontId="1" fillId="0" borderId="23" xfId="0" applyNumberFormat="1" applyFont="1" applyBorder="1" applyAlignment="1">
      <alignment/>
    </xf>
    <xf numFmtId="185" fontId="2" fillId="0" borderId="50" xfId="0" applyNumberFormat="1" applyFont="1" applyBorder="1" applyAlignment="1">
      <alignment horizontal="center"/>
    </xf>
    <xf numFmtId="185" fontId="1" fillId="0" borderId="17" xfId="0" applyNumberFormat="1" applyFont="1" applyBorder="1" applyAlignment="1">
      <alignment/>
    </xf>
    <xf numFmtId="185" fontId="1" fillId="0" borderId="12" xfId="0" applyNumberFormat="1" applyFont="1" applyBorder="1" applyAlignment="1">
      <alignment/>
    </xf>
    <xf numFmtId="185" fontId="1" fillId="0" borderId="21" xfId="0" applyNumberFormat="1" applyFont="1" applyBorder="1" applyAlignment="1">
      <alignment/>
    </xf>
    <xf numFmtId="185" fontId="2" fillId="0" borderId="24" xfId="0" applyNumberFormat="1" applyFont="1" applyBorder="1" applyAlignment="1">
      <alignment horizontal="center"/>
    </xf>
    <xf numFmtId="185" fontId="2" fillId="0" borderId="33" xfId="0" applyNumberFormat="1" applyFont="1" applyBorder="1" applyAlignment="1">
      <alignment horizontal="center"/>
    </xf>
    <xf numFmtId="185" fontId="1" fillId="0" borderId="17" xfId="0" applyNumberFormat="1" applyFont="1" applyBorder="1" applyAlignment="1">
      <alignment horizontal="center"/>
    </xf>
    <xf numFmtId="185" fontId="1" fillId="0" borderId="12" xfId="0" applyNumberFormat="1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185" fontId="2" fillId="0" borderId="33" xfId="0" applyNumberFormat="1" applyFont="1" applyBorder="1" applyAlignment="1">
      <alignment/>
    </xf>
    <xf numFmtId="188" fontId="2" fillId="0" borderId="48" xfId="60" applyNumberFormat="1" applyFont="1" applyBorder="1" applyAlignment="1">
      <alignment horizontal="center"/>
    </xf>
    <xf numFmtId="0" fontId="1" fillId="0" borderId="47" xfId="0" applyFont="1" applyBorder="1" applyAlignment="1">
      <alignment horizontal="left" wrapText="1"/>
    </xf>
    <xf numFmtId="1" fontId="2" fillId="0" borderId="45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5" fontId="1" fillId="0" borderId="12" xfId="0" applyNumberFormat="1" applyFont="1" applyBorder="1" applyAlignment="1">
      <alignment/>
    </xf>
    <xf numFmtId="185" fontId="1" fillId="0" borderId="12" xfId="0" applyNumberFormat="1" applyFont="1" applyBorder="1" applyAlignment="1">
      <alignment horizontal="center"/>
    </xf>
    <xf numFmtId="185" fontId="2" fillId="0" borderId="12" xfId="0" applyNumberFormat="1" applyFont="1" applyBorder="1" applyAlignment="1">
      <alignment/>
    </xf>
    <xf numFmtId="185" fontId="2" fillId="0" borderId="12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left"/>
    </xf>
    <xf numFmtId="188" fontId="1" fillId="0" borderId="57" xfId="6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5" fontId="1" fillId="0" borderId="13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85" fontId="2" fillId="0" borderId="0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4" xfId="0" applyFont="1" applyBorder="1" applyAlignment="1">
      <alignment/>
    </xf>
    <xf numFmtId="212" fontId="1" fillId="0" borderId="0" xfId="0" applyNumberFormat="1" applyFont="1" applyAlignment="1">
      <alignment horizontal="left"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41" xfId="0" applyFont="1" applyBorder="1" applyAlignment="1">
      <alignment/>
    </xf>
    <xf numFmtId="188" fontId="2" fillId="0" borderId="49" xfId="60" applyNumberFormat="1" applyFont="1" applyBorder="1" applyAlignment="1">
      <alignment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62" xfId="0" applyFont="1" applyBorder="1" applyAlignment="1">
      <alignment/>
    </xf>
    <xf numFmtId="188" fontId="1" fillId="0" borderId="27" xfId="0" applyNumberFormat="1" applyFont="1" applyBorder="1" applyAlignment="1">
      <alignment/>
    </xf>
    <xf numFmtId="188" fontId="1" fillId="0" borderId="58" xfId="0" applyNumberFormat="1" applyFont="1" applyBorder="1" applyAlignment="1">
      <alignment/>
    </xf>
    <xf numFmtId="188" fontId="1" fillId="0" borderId="38" xfId="0" applyNumberFormat="1" applyFont="1" applyBorder="1" applyAlignment="1">
      <alignment/>
    </xf>
    <xf numFmtId="189" fontId="1" fillId="0" borderId="0" xfId="0" applyNumberFormat="1" applyFont="1" applyAlignment="1">
      <alignment horizontal="left"/>
    </xf>
    <xf numFmtId="1" fontId="2" fillId="0" borderId="30" xfId="0" applyNumberFormat="1" applyFont="1" applyBorder="1" applyAlignment="1">
      <alignment/>
    </xf>
    <xf numFmtId="1" fontId="2" fillId="0" borderId="49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3" fillId="0" borderId="43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" fillId="0" borderId="33" xfId="0" applyFont="1" applyBorder="1" applyAlignment="1">
      <alignment horizontal="center" vertical="top" wrapText="1"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Alignment="1">
      <alignment horizontal="center"/>
    </xf>
    <xf numFmtId="188" fontId="0" fillId="0" borderId="12" xfId="0" applyNumberFormat="1" applyFont="1" applyBorder="1" applyAlignment="1">
      <alignment wrapText="1"/>
    </xf>
    <xf numFmtId="188" fontId="0" fillId="0" borderId="25" xfId="0" applyNumberFormat="1" applyFont="1" applyBorder="1" applyAlignment="1">
      <alignment wrapText="1"/>
    </xf>
    <xf numFmtId="188" fontId="0" fillId="0" borderId="13" xfId="0" applyNumberFormat="1" applyFont="1" applyBorder="1" applyAlignment="1">
      <alignment wrapText="1"/>
    </xf>
    <xf numFmtId="188" fontId="0" fillId="0" borderId="66" xfId="0" applyNumberFormat="1" applyFont="1" applyBorder="1" applyAlignment="1">
      <alignment wrapText="1"/>
    </xf>
    <xf numFmtId="188" fontId="0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188" fontId="1" fillId="0" borderId="53" xfId="60" applyNumberFormat="1" applyFont="1" applyBorder="1" applyAlignment="1">
      <alignment horizontal="center"/>
    </xf>
    <xf numFmtId="188" fontId="1" fillId="0" borderId="52" xfId="6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50" xfId="0" applyNumberFormat="1" applyFont="1" applyBorder="1" applyAlignment="1">
      <alignment/>
    </xf>
    <xf numFmtId="188" fontId="1" fillId="0" borderId="53" xfId="0" applyNumberFormat="1" applyFont="1" applyBorder="1" applyAlignment="1">
      <alignment/>
    </xf>
    <xf numFmtId="0" fontId="2" fillId="0" borderId="67" xfId="0" applyFont="1" applyBorder="1" applyAlignment="1">
      <alignment horizontal="center"/>
    </xf>
    <xf numFmtId="0" fontId="1" fillId="0" borderId="22" xfId="0" applyFont="1" applyBorder="1" applyAlignment="1">
      <alignment/>
    </xf>
    <xf numFmtId="1" fontId="2" fillId="0" borderId="47" xfId="0" applyNumberFormat="1" applyFont="1" applyBorder="1" applyAlignment="1">
      <alignment/>
    </xf>
    <xf numFmtId="185" fontId="1" fillId="0" borderId="22" xfId="0" applyNumberFormat="1" applyFont="1" applyBorder="1" applyAlignment="1">
      <alignment horizontal="center"/>
    </xf>
    <xf numFmtId="185" fontId="1" fillId="0" borderId="23" xfId="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185" fontId="1" fillId="0" borderId="23" xfId="0" applyNumberFormat="1" applyFont="1" applyBorder="1" applyAlignment="1">
      <alignment/>
    </xf>
    <xf numFmtId="185" fontId="1" fillId="0" borderId="68" xfId="0" applyNumberFormat="1" applyFont="1" applyBorder="1" applyAlignment="1">
      <alignment/>
    </xf>
    <xf numFmtId="185" fontId="2" fillId="0" borderId="50" xfId="0" applyNumberFormat="1" applyFont="1" applyBorder="1" applyAlignment="1">
      <alignment horizontal="center"/>
    </xf>
    <xf numFmtId="188" fontId="2" fillId="0" borderId="47" xfId="60" applyNumberFormat="1" applyFont="1" applyBorder="1" applyAlignment="1">
      <alignment horizontal="center"/>
    </xf>
    <xf numFmtId="185" fontId="1" fillId="0" borderId="15" xfId="0" applyNumberFormat="1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69" xfId="0" applyFont="1" applyBorder="1" applyAlignment="1">
      <alignment horizontal="center" vertical="top"/>
    </xf>
    <xf numFmtId="0" fontId="2" fillId="0" borderId="7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35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2" fillId="0" borderId="35" xfId="0" applyFont="1" applyBorder="1" applyAlignment="1">
      <alignment horizontal="left" vertical="center" wrapText="1"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2" fillId="0" borderId="72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52" xfId="0" applyFont="1" applyBorder="1" applyAlignment="1">
      <alignment/>
    </xf>
    <xf numFmtId="0" fontId="1" fillId="0" borderId="19" xfId="0" applyFont="1" applyBorder="1" applyAlignment="1">
      <alignment/>
    </xf>
    <xf numFmtId="188" fontId="1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0" xfId="0" applyFont="1" applyBorder="1" applyAlignment="1">
      <alignment/>
    </xf>
    <xf numFmtId="188" fontId="1" fillId="0" borderId="41" xfId="6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/>
    </xf>
    <xf numFmtId="188" fontId="1" fillId="0" borderId="17" xfId="60" applyNumberFormat="1" applyFont="1" applyBorder="1" applyAlignment="1">
      <alignment/>
    </xf>
    <xf numFmtId="189" fontId="1" fillId="0" borderId="0" xfId="0" applyNumberFormat="1" applyFont="1" applyAlignment="1">
      <alignment horizontal="left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88" fontId="1" fillId="0" borderId="11" xfId="60" applyNumberFormat="1" applyFont="1" applyBorder="1" applyAlignment="1">
      <alignment horizontal="center"/>
    </xf>
    <xf numFmtId="188" fontId="1" fillId="0" borderId="54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188" fontId="1" fillId="0" borderId="57" xfId="60" applyNumberFormat="1" applyFont="1" applyBorder="1" applyAlignment="1">
      <alignment horizontal="center"/>
    </xf>
    <xf numFmtId="188" fontId="1" fillId="0" borderId="57" xfId="0" applyNumberFormat="1" applyFont="1" applyBorder="1" applyAlignment="1">
      <alignment horizontal="center"/>
    </xf>
    <xf numFmtId="188" fontId="2" fillId="0" borderId="47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88" fontId="1" fillId="0" borderId="29" xfId="60" applyNumberFormat="1" applyFont="1" applyBorder="1" applyAlignment="1">
      <alignment horizontal="center"/>
    </xf>
    <xf numFmtId="188" fontId="1" fillId="0" borderId="29" xfId="0" applyNumberFormat="1" applyFont="1" applyBorder="1" applyAlignment="1">
      <alignment horizontal="center"/>
    </xf>
    <xf numFmtId="188" fontId="1" fillId="0" borderId="53" xfId="0" applyNumberFormat="1" applyFont="1" applyBorder="1" applyAlignment="1">
      <alignment horizontal="center"/>
    </xf>
    <xf numFmtId="212" fontId="1" fillId="0" borderId="0" xfId="0" applyNumberFormat="1" applyFont="1" applyBorder="1" applyAlignment="1">
      <alignment horizontal="left"/>
    </xf>
    <xf numFmtId="188" fontId="1" fillId="0" borderId="0" xfId="60" applyNumberFormat="1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8" fontId="9" fillId="0" borderId="0" xfId="60" applyNumberFormat="1" applyFont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/>
    </xf>
    <xf numFmtId="1" fontId="2" fillId="0" borderId="47" xfId="0" applyNumberFormat="1" applyFont="1" applyBorder="1" applyAlignment="1">
      <alignment/>
    </xf>
    <xf numFmtId="1" fontId="2" fillId="0" borderId="49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0" fontId="1" fillId="0" borderId="68" xfId="0" applyFont="1" applyBorder="1" applyAlignment="1">
      <alignment/>
    </xf>
    <xf numFmtId="1" fontId="2" fillId="0" borderId="77" xfId="0" applyNumberFormat="1" applyFont="1" applyBorder="1" applyAlignment="1">
      <alignment/>
    </xf>
    <xf numFmtId="1" fontId="2" fillId="0" borderId="56" xfId="0" applyNumberFormat="1" applyFont="1" applyBorder="1" applyAlignment="1">
      <alignment/>
    </xf>
    <xf numFmtId="1" fontId="2" fillId="0" borderId="78" xfId="0" applyNumberFormat="1" applyFont="1" applyBorder="1" applyAlignment="1">
      <alignment/>
    </xf>
    <xf numFmtId="188" fontId="2" fillId="0" borderId="35" xfId="0" applyNumberFormat="1" applyFont="1" applyBorder="1" applyAlignment="1">
      <alignment/>
    </xf>
    <xf numFmtId="1" fontId="2" fillId="0" borderId="43" xfId="0" applyNumberFormat="1" applyFont="1" applyBorder="1" applyAlignment="1">
      <alignment/>
    </xf>
    <xf numFmtId="1" fontId="2" fillId="0" borderId="44" xfId="0" applyNumberFormat="1" applyFont="1" applyBorder="1" applyAlignment="1">
      <alignment/>
    </xf>
    <xf numFmtId="0" fontId="1" fillId="0" borderId="0" xfId="0" applyFont="1" applyAlignment="1">
      <alignment horizontal="left" vertical="center"/>
    </xf>
    <xf numFmtId="185" fontId="1" fillId="0" borderId="68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5" fontId="1" fillId="0" borderId="21" xfId="0" applyNumberFormat="1" applyFont="1" applyBorder="1" applyAlignment="1">
      <alignment/>
    </xf>
    <xf numFmtId="185" fontId="1" fillId="0" borderId="2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10" fontId="9" fillId="0" borderId="25" xfId="0" applyNumberFormat="1" applyFont="1" applyBorder="1" applyAlignment="1">
      <alignment/>
    </xf>
    <xf numFmtId="10" fontId="1" fillId="0" borderId="53" xfId="0" applyNumberFormat="1" applyFont="1" applyBorder="1" applyAlignment="1">
      <alignment horizontal="center"/>
    </xf>
    <xf numFmtId="10" fontId="2" fillId="0" borderId="47" xfId="60" applyNumberFormat="1" applyFont="1" applyBorder="1" applyAlignment="1">
      <alignment horizontal="center"/>
    </xf>
    <xf numFmtId="185" fontId="1" fillId="0" borderId="13" xfId="0" applyNumberFormat="1" applyFont="1" applyBorder="1" applyAlignment="1">
      <alignment horizontal="center"/>
    </xf>
    <xf numFmtId="185" fontId="1" fillId="0" borderId="12" xfId="0" applyNumberFormat="1" applyFont="1" applyBorder="1" applyAlignment="1">
      <alignment wrapText="1"/>
    </xf>
    <xf numFmtId="185" fontId="1" fillId="0" borderId="12" xfId="0" applyNumberFormat="1" applyFont="1" applyBorder="1" applyAlignment="1">
      <alignment horizontal="center" wrapText="1"/>
    </xf>
    <xf numFmtId="188" fontId="0" fillId="0" borderId="25" xfId="0" applyNumberFormat="1" applyBorder="1" applyAlignment="1">
      <alignment wrapText="1"/>
    </xf>
    <xf numFmtId="185" fontId="2" fillId="0" borderId="12" xfId="0" applyNumberFormat="1" applyFont="1" applyBorder="1" applyAlignment="1">
      <alignment wrapText="1"/>
    </xf>
    <xf numFmtId="185" fontId="2" fillId="0" borderId="12" xfId="0" applyNumberFormat="1" applyFont="1" applyBorder="1" applyAlignment="1">
      <alignment horizontal="center" wrapText="1"/>
    </xf>
    <xf numFmtId="185" fontId="1" fillId="0" borderId="12" xfId="0" applyNumberFormat="1" applyFont="1" applyBorder="1" applyAlignment="1">
      <alignment horizontal="center" wrapText="1"/>
    </xf>
    <xf numFmtId="188" fontId="3" fillId="0" borderId="25" xfId="0" applyNumberFormat="1" applyFont="1" applyBorder="1" applyAlignment="1">
      <alignment wrapText="1"/>
    </xf>
    <xf numFmtId="185" fontId="1" fillId="0" borderId="12" xfId="0" applyNumberFormat="1" applyFont="1" applyBorder="1" applyAlignment="1">
      <alignment wrapText="1"/>
    </xf>
    <xf numFmtId="185" fontId="1" fillId="0" borderId="13" xfId="0" applyNumberFormat="1" applyFont="1" applyBorder="1" applyAlignment="1">
      <alignment wrapText="1"/>
    </xf>
    <xf numFmtId="185" fontId="1" fillId="0" borderId="13" xfId="0" applyNumberFormat="1" applyFont="1" applyBorder="1" applyAlignment="1">
      <alignment horizontal="center" wrapText="1"/>
    </xf>
    <xf numFmtId="188" fontId="3" fillId="0" borderId="26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85" fontId="2" fillId="0" borderId="78" xfId="0" applyNumberFormat="1" applyFont="1" applyBorder="1" applyAlignment="1">
      <alignment horizontal="left"/>
    </xf>
    <xf numFmtId="185" fontId="1" fillId="0" borderId="10" xfId="0" applyNumberFormat="1" applyFont="1" applyBorder="1" applyAlignment="1">
      <alignment horizontal="center"/>
    </xf>
    <xf numFmtId="188" fontId="0" fillId="0" borderId="25" xfId="0" applyNumberFormat="1" applyBorder="1" applyAlignment="1">
      <alignment horizontal="center"/>
    </xf>
    <xf numFmtId="185" fontId="1" fillId="0" borderId="34" xfId="0" applyNumberFormat="1" applyFont="1" applyBorder="1" applyAlignment="1">
      <alignment horizontal="center"/>
    </xf>
    <xf numFmtId="185" fontId="2" fillId="0" borderId="34" xfId="0" applyNumberFormat="1" applyFont="1" applyBorder="1" applyAlignment="1">
      <alignment horizontal="center"/>
    </xf>
    <xf numFmtId="188" fontId="3" fillId="0" borderId="25" xfId="0" applyNumberFormat="1" applyFont="1" applyBorder="1" applyAlignment="1">
      <alignment horizontal="center"/>
    </xf>
    <xf numFmtId="185" fontId="1" fillId="0" borderId="62" xfId="0" applyNumberFormat="1" applyFont="1" applyBorder="1" applyAlignment="1">
      <alignment horizontal="center"/>
    </xf>
    <xf numFmtId="188" fontId="0" fillId="0" borderId="66" xfId="0" applyNumberForma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78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11" fillId="0" borderId="0" xfId="57" applyFont="1">
      <alignment/>
      <protection/>
    </xf>
    <xf numFmtId="185" fontId="1" fillId="0" borderId="12" xfId="57" applyNumberFormat="1" applyFont="1" applyBorder="1">
      <alignment/>
      <protection/>
    </xf>
    <xf numFmtId="185" fontId="1" fillId="0" borderId="12" xfId="57" applyNumberFormat="1" applyFont="1" applyBorder="1" applyAlignment="1">
      <alignment horizontal="center"/>
      <protection/>
    </xf>
    <xf numFmtId="185" fontId="2" fillId="0" borderId="12" xfId="57" applyNumberFormat="1" applyFont="1" applyBorder="1">
      <alignment/>
      <protection/>
    </xf>
    <xf numFmtId="185" fontId="2" fillId="0" borderId="12" xfId="57" applyNumberFormat="1" applyFont="1" applyBorder="1" applyAlignment="1">
      <alignment horizontal="center"/>
      <protection/>
    </xf>
    <xf numFmtId="185" fontId="1" fillId="0" borderId="12" xfId="57" applyNumberFormat="1" applyFont="1" applyBorder="1" applyAlignment="1">
      <alignment horizontal="center"/>
      <protection/>
    </xf>
    <xf numFmtId="185" fontId="1" fillId="0" borderId="12" xfId="57" applyNumberFormat="1" applyFont="1" applyBorder="1">
      <alignment/>
      <protection/>
    </xf>
    <xf numFmtId="185" fontId="1" fillId="0" borderId="13" xfId="57" applyNumberFormat="1" applyFont="1" applyBorder="1">
      <alignment/>
      <protection/>
    </xf>
    <xf numFmtId="185" fontId="1" fillId="0" borderId="13" xfId="57" applyNumberFormat="1" applyFont="1" applyBorder="1" applyAlignment="1">
      <alignment horizontal="center"/>
      <protection/>
    </xf>
    <xf numFmtId="185" fontId="2" fillId="0" borderId="49" xfId="57" applyNumberFormat="1" applyFont="1" applyBorder="1" applyAlignment="1">
      <alignment horizontal="left"/>
      <protection/>
    </xf>
    <xf numFmtId="185" fontId="2" fillId="0" borderId="26" xfId="57" applyNumberFormat="1" applyFont="1" applyBorder="1" applyAlignment="1">
      <alignment horizontal="left"/>
      <protection/>
    </xf>
    <xf numFmtId="0" fontId="0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185" fontId="3" fillId="0" borderId="0" xfId="57" applyNumberFormat="1" applyFont="1" applyBorder="1" applyAlignment="1">
      <alignment horizontal="center"/>
      <protection/>
    </xf>
    <xf numFmtId="0" fontId="1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192" fontId="1" fillId="0" borderId="0" xfId="57" applyNumberFormat="1" applyFont="1" applyAlignment="1">
      <alignment/>
      <protection/>
    </xf>
    <xf numFmtId="216" fontId="1" fillId="0" borderId="0" xfId="57" applyNumberFormat="1" applyFont="1" applyAlignment="1">
      <alignment horizontal="left"/>
      <protection/>
    </xf>
    <xf numFmtId="0" fontId="3" fillId="0" borderId="0" xfId="57" applyFont="1">
      <alignment/>
      <protection/>
    </xf>
    <xf numFmtId="0" fontId="0" fillId="0" borderId="79" xfId="57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 applyAlignment="1">
      <alignment horizontal="left"/>
      <protection/>
    </xf>
    <xf numFmtId="185" fontId="2" fillId="0" borderId="0" xfId="57" applyNumberFormat="1" applyFont="1" applyBorder="1" applyAlignment="1">
      <alignment horizontal="left"/>
      <protection/>
    </xf>
    <xf numFmtId="0" fontId="2" fillId="0" borderId="0" xfId="57" applyFont="1">
      <alignment/>
      <protection/>
    </xf>
    <xf numFmtId="185" fontId="1" fillId="0" borderId="21" xfId="57" applyNumberFormat="1" applyFont="1" applyBorder="1">
      <alignment/>
      <protection/>
    </xf>
    <xf numFmtId="185" fontId="1" fillId="0" borderId="21" xfId="57" applyNumberFormat="1" applyFont="1" applyBorder="1" applyAlignment="1">
      <alignment horizontal="center"/>
      <protection/>
    </xf>
    <xf numFmtId="185" fontId="2" fillId="0" borderId="74" xfId="57" applyNumberFormat="1" applyFont="1" applyBorder="1" applyAlignment="1">
      <alignment horizontal="left"/>
      <protection/>
    </xf>
    <xf numFmtId="185" fontId="2" fillId="0" borderId="76" xfId="57" applyNumberFormat="1" applyFont="1" applyBorder="1" applyAlignment="1">
      <alignment horizontal="left"/>
      <protection/>
    </xf>
    <xf numFmtId="0" fontId="0" fillId="0" borderId="0" xfId="57" applyAlignment="1">
      <alignment horizontal="center"/>
      <protection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88" fontId="9" fillId="0" borderId="11" xfId="0" applyNumberFormat="1" applyFont="1" applyBorder="1" applyAlignment="1">
      <alignment wrapText="1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8" fontId="9" fillId="0" borderId="25" xfId="0" applyNumberFormat="1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88" fontId="9" fillId="0" borderId="66" xfId="0" applyNumberFormat="1" applyFont="1" applyBorder="1" applyAlignment="1">
      <alignment wrapText="1"/>
    </xf>
    <xf numFmtId="1" fontId="4" fillId="0" borderId="49" xfId="0" applyNumberFormat="1" applyFont="1" applyBorder="1" applyAlignment="1">
      <alignment horizontal="center"/>
    </xf>
    <xf numFmtId="188" fontId="4" fillId="0" borderId="26" xfId="0" applyNumberFormat="1" applyFont="1" applyBorder="1" applyAlignment="1">
      <alignment wrapText="1"/>
    </xf>
    <xf numFmtId="1" fontId="4" fillId="0" borderId="3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185" fontId="1" fillId="0" borderId="51" xfId="0" applyNumberFormat="1" applyFont="1" applyBorder="1" applyAlignment="1">
      <alignment/>
    </xf>
    <xf numFmtId="185" fontId="1" fillId="0" borderId="51" xfId="0" applyNumberFormat="1" applyFont="1" applyBorder="1" applyAlignment="1">
      <alignment/>
    </xf>
    <xf numFmtId="185" fontId="1" fillId="0" borderId="60" xfId="0" applyNumberFormat="1" applyFont="1" applyBorder="1" applyAlignment="1">
      <alignment/>
    </xf>
    <xf numFmtId="185" fontId="1" fillId="0" borderId="34" xfId="57" applyNumberFormat="1" applyFont="1" applyBorder="1">
      <alignment/>
      <protection/>
    </xf>
    <xf numFmtId="185" fontId="1" fillId="0" borderId="51" xfId="57" applyNumberFormat="1" applyFont="1" applyBorder="1">
      <alignment/>
      <protection/>
    </xf>
    <xf numFmtId="185" fontId="1" fillId="0" borderId="51" xfId="57" applyNumberFormat="1" applyFont="1" applyBorder="1">
      <alignment/>
      <protection/>
    </xf>
    <xf numFmtId="185" fontId="1" fillId="0" borderId="60" xfId="57" applyNumberFormat="1" applyFont="1" applyBorder="1">
      <alignment/>
      <protection/>
    </xf>
    <xf numFmtId="185" fontId="2" fillId="0" borderId="78" xfId="57" applyNumberFormat="1" applyFont="1" applyBorder="1" applyAlignment="1">
      <alignment horizontal="left"/>
      <protection/>
    </xf>
    <xf numFmtId="188" fontId="1" fillId="0" borderId="5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57" applyFont="1" applyFill="1">
      <alignment/>
      <protection/>
    </xf>
    <xf numFmtId="0" fontId="2" fillId="0" borderId="50" xfId="0" applyFont="1" applyBorder="1" applyAlignment="1">
      <alignment horizontal="center"/>
    </xf>
    <xf numFmtId="0" fontId="0" fillId="0" borderId="6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88" fontId="0" fillId="0" borderId="39" xfId="0" applyNumberFormat="1" applyFont="1" applyBorder="1" applyAlignment="1">
      <alignment wrapText="1"/>
    </xf>
    <xf numFmtId="1" fontId="3" fillId="0" borderId="50" xfId="0" applyNumberFormat="1" applyFont="1" applyBorder="1" applyAlignment="1">
      <alignment horizontal="right"/>
    </xf>
    <xf numFmtId="1" fontId="3" fillId="0" borderId="49" xfId="0" applyNumberFormat="1" applyFont="1" applyBorder="1" applyAlignment="1">
      <alignment horizontal="right"/>
    </xf>
    <xf numFmtId="1" fontId="3" fillId="0" borderId="78" xfId="0" applyNumberFormat="1" applyFont="1" applyBorder="1" applyAlignment="1">
      <alignment horizontal="center"/>
    </xf>
    <xf numFmtId="1" fontId="3" fillId="0" borderId="49" xfId="0" applyNumberFormat="1" applyFont="1" applyBorder="1" applyAlignment="1">
      <alignment horizontal="center"/>
    </xf>
    <xf numFmtId="188" fontId="3" fillId="0" borderId="49" xfId="0" applyNumberFormat="1" applyFont="1" applyBorder="1" applyAlignment="1">
      <alignment wrapText="1"/>
    </xf>
    <xf numFmtId="188" fontId="3" fillId="0" borderId="26" xfId="0" applyNumberFormat="1" applyFont="1" applyBorder="1" applyAlignment="1">
      <alignment wrapText="1"/>
    </xf>
    <xf numFmtId="188" fontId="0" fillId="0" borderId="66" xfId="0" applyNumberFormat="1" applyFont="1" applyFill="1" applyBorder="1" applyAlignment="1">
      <alignment wrapText="1"/>
    </xf>
    <xf numFmtId="0" fontId="2" fillId="0" borderId="27" xfId="0" applyFont="1" applyBorder="1" applyAlignment="1">
      <alignment horizontal="left"/>
    </xf>
    <xf numFmtId="188" fontId="3" fillId="0" borderId="49" xfId="0" applyNumberFormat="1" applyFont="1" applyBorder="1" applyAlignment="1">
      <alignment wrapText="1"/>
    </xf>
    <xf numFmtId="1" fontId="3" fillId="0" borderId="50" xfId="0" applyNumberFormat="1" applyFont="1" applyFill="1" applyBorder="1" applyAlignment="1">
      <alignment horizontal="center"/>
    </xf>
    <xf numFmtId="0" fontId="4" fillId="0" borderId="27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4" fillId="0" borderId="80" xfId="0" applyFont="1" applyBorder="1" applyAlignment="1">
      <alignment horizontal="left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10" fontId="9" fillId="0" borderId="11" xfId="0" applyNumberFormat="1" applyFont="1" applyBorder="1" applyAlignment="1">
      <alignment wrapText="1"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0" fontId="9" fillId="0" borderId="66" xfId="0" applyNumberFormat="1" applyFont="1" applyBorder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4" fillId="0" borderId="7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0" fontId="4" fillId="0" borderId="26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0" fontId="1" fillId="0" borderId="30" xfId="0" applyFont="1" applyBorder="1" applyAlignment="1">
      <alignment horizontal="left" wrapText="1"/>
    </xf>
    <xf numFmtId="185" fontId="2" fillId="0" borderId="49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30" xfId="0" applyBorder="1" applyAlignment="1">
      <alignment/>
    </xf>
    <xf numFmtId="0" fontId="1" fillId="0" borderId="26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6" xfId="0" applyFont="1" applyBorder="1" applyAlignment="1">
      <alignment/>
    </xf>
    <xf numFmtId="185" fontId="1" fillId="0" borderId="23" xfId="0" applyNumberFormat="1" applyFont="1" applyBorder="1" applyAlignment="1">
      <alignment horizontal="left"/>
    </xf>
    <xf numFmtId="185" fontId="2" fillId="0" borderId="23" xfId="0" applyNumberFormat="1" applyFont="1" applyBorder="1" applyAlignment="1">
      <alignment horizontal="left"/>
    </xf>
    <xf numFmtId="185" fontId="1" fillId="0" borderId="67" xfId="0" applyNumberFormat="1" applyFont="1" applyBorder="1" applyAlignment="1">
      <alignment horizontal="left"/>
    </xf>
    <xf numFmtId="185" fontId="2" fillId="0" borderId="50" xfId="0" applyNumberFormat="1" applyFont="1" applyBorder="1" applyAlignment="1">
      <alignment horizontal="left"/>
    </xf>
    <xf numFmtId="0" fontId="0" fillId="0" borderId="81" xfId="0" applyBorder="1" applyAlignment="1">
      <alignment/>
    </xf>
    <xf numFmtId="0" fontId="3" fillId="0" borderId="81" xfId="0" applyFont="1" applyBorder="1" applyAlignment="1">
      <alignment horizontal="left"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3" fillId="0" borderId="35" xfId="0" applyFont="1" applyBorder="1" applyAlignment="1">
      <alignment horizontal="left"/>
    </xf>
    <xf numFmtId="185" fontId="1" fillId="0" borderId="15" xfId="0" applyNumberFormat="1" applyFont="1" applyBorder="1" applyAlignment="1">
      <alignment horizontal="left"/>
    </xf>
    <xf numFmtId="185" fontId="1" fillId="0" borderId="10" xfId="0" applyNumberFormat="1" applyFont="1" applyBorder="1" applyAlignment="1">
      <alignment/>
    </xf>
    <xf numFmtId="185" fontId="1" fillId="0" borderId="34" xfId="0" applyNumberFormat="1" applyFont="1" applyBorder="1" applyAlignment="1">
      <alignment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0" fontId="2" fillId="0" borderId="35" xfId="0" applyNumberFormat="1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66" xfId="0" applyNumberFormat="1" applyBorder="1" applyAlignment="1">
      <alignment horizontal="center"/>
    </xf>
    <xf numFmtId="185" fontId="1" fillId="0" borderId="23" xfId="0" applyNumberFormat="1" applyFont="1" applyBorder="1" applyAlignment="1">
      <alignment horizontal="left" wrapText="1"/>
    </xf>
    <xf numFmtId="185" fontId="2" fillId="0" borderId="23" xfId="0" applyNumberFormat="1" applyFont="1" applyBorder="1" applyAlignment="1">
      <alignment horizontal="left" wrapText="1"/>
    </xf>
    <xf numFmtId="185" fontId="1" fillId="0" borderId="68" xfId="0" applyNumberFormat="1" applyFont="1" applyBorder="1" applyAlignment="1">
      <alignment horizontal="left" wrapText="1"/>
    </xf>
    <xf numFmtId="0" fontId="3" fillId="0" borderId="27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0" fillId="0" borderId="58" xfId="0" applyBorder="1" applyAlignment="1">
      <alignment horizontal="center"/>
    </xf>
    <xf numFmtId="0" fontId="0" fillId="0" borderId="58" xfId="0" applyFont="1" applyBorder="1" applyAlignment="1">
      <alignment vertical="center"/>
    </xf>
    <xf numFmtId="0" fontId="0" fillId="0" borderId="28" xfId="0" applyBorder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left" wrapText="1"/>
    </xf>
    <xf numFmtId="0" fontId="0" fillId="0" borderId="59" xfId="0" applyBorder="1" applyAlignment="1">
      <alignment horizontal="center" wrapText="1"/>
    </xf>
    <xf numFmtId="0" fontId="0" fillId="0" borderId="59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185" fontId="1" fillId="0" borderId="51" xfId="0" applyNumberFormat="1" applyFont="1" applyBorder="1" applyAlignment="1">
      <alignment wrapText="1"/>
    </xf>
    <xf numFmtId="185" fontId="1" fillId="0" borderId="51" xfId="0" applyNumberFormat="1" applyFont="1" applyBorder="1" applyAlignment="1">
      <alignment wrapText="1"/>
    </xf>
    <xf numFmtId="185" fontId="2" fillId="0" borderId="51" xfId="0" applyNumberFormat="1" applyFont="1" applyBorder="1" applyAlignment="1">
      <alignment wrapText="1"/>
    </xf>
    <xf numFmtId="185" fontId="1" fillId="0" borderId="60" xfId="0" applyNumberFormat="1" applyFont="1" applyBorder="1" applyAlignment="1">
      <alignment wrapText="1"/>
    </xf>
    <xf numFmtId="188" fontId="0" fillId="0" borderId="29" xfId="0" applyNumberFormat="1" applyBorder="1" applyAlignment="1">
      <alignment/>
    </xf>
    <xf numFmtId="188" fontId="0" fillId="0" borderId="37" xfId="0" applyNumberFormat="1" applyBorder="1" applyAlignment="1">
      <alignment wrapText="1"/>
    </xf>
    <xf numFmtId="185" fontId="1" fillId="0" borderId="30" xfId="0" applyNumberFormat="1" applyFont="1" applyBorder="1" applyAlignment="1">
      <alignment horizontal="left" wrapText="1"/>
    </xf>
    <xf numFmtId="185" fontId="1" fillId="0" borderId="49" xfId="0" applyNumberFormat="1" applyFont="1" applyBorder="1" applyAlignment="1">
      <alignment wrapText="1"/>
    </xf>
    <xf numFmtId="185" fontId="1" fillId="0" borderId="49" xfId="0" applyNumberFormat="1" applyFont="1" applyBorder="1" applyAlignment="1">
      <alignment horizontal="center" wrapText="1"/>
    </xf>
    <xf numFmtId="185" fontId="2" fillId="0" borderId="78" xfId="0" applyNumberFormat="1" applyFont="1" applyBorder="1" applyAlignment="1">
      <alignment horizontal="left" wrapText="1"/>
    </xf>
    <xf numFmtId="185" fontId="2" fillId="0" borderId="23" xfId="0" applyNumberFormat="1" applyFont="1" applyBorder="1" applyAlignment="1">
      <alignment horizontal="center"/>
    </xf>
    <xf numFmtId="185" fontId="1" fillId="0" borderId="68" xfId="0" applyNumberFormat="1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6" xfId="0" applyBorder="1" applyAlignment="1">
      <alignment horizontal="center"/>
    </xf>
    <xf numFmtId="0" fontId="3" fillId="0" borderId="35" xfId="0" applyFont="1" applyBorder="1" applyAlignment="1">
      <alignment horizontal="left"/>
    </xf>
    <xf numFmtId="0" fontId="0" fillId="0" borderId="58" xfId="0" applyBorder="1" applyAlignment="1">
      <alignment/>
    </xf>
    <xf numFmtId="188" fontId="0" fillId="0" borderId="11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82" xfId="57" applyBorder="1">
      <alignment/>
      <protection/>
    </xf>
    <xf numFmtId="0" fontId="3" fillId="0" borderId="83" xfId="57" applyFont="1" applyBorder="1">
      <alignment/>
      <protection/>
    </xf>
    <xf numFmtId="0" fontId="0" fillId="0" borderId="83" xfId="57" applyBorder="1">
      <alignment/>
      <protection/>
    </xf>
    <xf numFmtId="0" fontId="0" fillId="0" borderId="84" xfId="57" applyBorder="1" applyAlignment="1">
      <alignment horizontal="left"/>
      <protection/>
    </xf>
    <xf numFmtId="0" fontId="0" fillId="0" borderId="84" xfId="57" applyBorder="1" applyAlignment="1">
      <alignment horizontal="left" vertical="center"/>
      <protection/>
    </xf>
    <xf numFmtId="185" fontId="1" fillId="0" borderId="23" xfId="57" applyNumberFormat="1" applyFont="1" applyBorder="1" applyAlignment="1">
      <alignment horizontal="left"/>
      <protection/>
    </xf>
    <xf numFmtId="185" fontId="2" fillId="0" borderId="23" xfId="57" applyNumberFormat="1" applyFont="1" applyBorder="1" applyAlignment="1">
      <alignment horizontal="left"/>
      <protection/>
    </xf>
    <xf numFmtId="185" fontId="1" fillId="0" borderId="68" xfId="57" applyNumberFormat="1" applyFont="1" applyBorder="1" applyAlignment="1">
      <alignment horizontal="left"/>
      <protection/>
    </xf>
    <xf numFmtId="185" fontId="2" fillId="0" borderId="50" xfId="57" applyNumberFormat="1" applyFont="1" applyBorder="1" applyAlignment="1">
      <alignment horizontal="left"/>
      <protection/>
    </xf>
    <xf numFmtId="0" fontId="3" fillId="0" borderId="81" xfId="57" applyFont="1" applyBorder="1" applyAlignment="1">
      <alignment horizontal="left"/>
      <protection/>
    </xf>
    <xf numFmtId="0" fontId="3" fillId="0" borderId="38" xfId="57" applyFont="1" applyBorder="1" applyAlignment="1">
      <alignment horizontal="left"/>
      <protection/>
    </xf>
    <xf numFmtId="0" fontId="0" fillId="0" borderId="38" xfId="57" applyBorder="1">
      <alignment/>
      <protection/>
    </xf>
    <xf numFmtId="0" fontId="0" fillId="0" borderId="28" xfId="57" applyBorder="1" applyAlignment="1">
      <alignment horizontal="left" vertical="center" wrapText="1"/>
      <protection/>
    </xf>
    <xf numFmtId="0" fontId="0" fillId="0" borderId="28" xfId="57" applyFill="1" applyBorder="1" applyAlignment="1">
      <alignment horizontal="left" vertical="center" wrapText="1"/>
      <protection/>
    </xf>
    <xf numFmtId="0" fontId="0" fillId="0" borderId="28" xfId="57" applyFont="1" applyBorder="1" applyAlignment="1">
      <alignment horizontal="left"/>
      <protection/>
    </xf>
    <xf numFmtId="0" fontId="0" fillId="0" borderId="59" xfId="57" applyFont="1" applyBorder="1" applyAlignment="1">
      <alignment horizontal="left"/>
      <protection/>
    </xf>
    <xf numFmtId="0" fontId="3" fillId="0" borderId="35" xfId="57" applyFont="1" applyBorder="1" applyAlignment="1">
      <alignment horizontal="left"/>
      <protection/>
    </xf>
    <xf numFmtId="0" fontId="0" fillId="0" borderId="85" xfId="57" applyBorder="1" applyAlignment="1">
      <alignment horizontal="left"/>
      <protection/>
    </xf>
    <xf numFmtId="0" fontId="0" fillId="0" borderId="58" xfId="57" applyBorder="1" applyAlignment="1">
      <alignment horizontal="left" vertical="center" wrapText="1"/>
      <protection/>
    </xf>
    <xf numFmtId="185" fontId="1" fillId="0" borderId="15" xfId="57" applyNumberFormat="1" applyFont="1" applyBorder="1" applyAlignment="1">
      <alignment horizontal="left"/>
      <protection/>
    </xf>
    <xf numFmtId="185" fontId="1" fillId="0" borderId="10" xfId="57" applyNumberFormat="1" applyFont="1" applyBorder="1">
      <alignment/>
      <protection/>
    </xf>
    <xf numFmtId="185" fontId="1" fillId="0" borderId="10" xfId="57" applyNumberFormat="1" applyFont="1" applyBorder="1" applyAlignment="1">
      <alignment horizontal="center"/>
      <protection/>
    </xf>
    <xf numFmtId="0" fontId="0" fillId="0" borderId="86" xfId="57" applyBorder="1">
      <alignment/>
      <protection/>
    </xf>
    <xf numFmtId="0" fontId="0" fillId="0" borderId="80" xfId="57" applyBorder="1">
      <alignment/>
      <protection/>
    </xf>
    <xf numFmtId="0" fontId="2" fillId="0" borderId="77" xfId="57" applyFont="1" applyBorder="1" applyAlignment="1">
      <alignment horizontal="center" vertical="center"/>
      <protection/>
    </xf>
    <xf numFmtId="0" fontId="2" fillId="0" borderId="74" xfId="57" applyFont="1" applyBorder="1" applyAlignment="1">
      <alignment horizontal="center" vertical="center" wrapText="1"/>
      <protection/>
    </xf>
    <xf numFmtId="0" fontId="2" fillId="0" borderId="21" xfId="57" applyFont="1" applyBorder="1" applyAlignment="1">
      <alignment horizontal="center" vertical="center" wrapText="1"/>
      <protection/>
    </xf>
    <xf numFmtId="10" fontId="0" fillId="0" borderId="11" xfId="57" applyNumberFormat="1" applyBorder="1">
      <alignment/>
      <protection/>
    </xf>
    <xf numFmtId="10" fontId="0" fillId="0" borderId="25" xfId="57" applyNumberFormat="1" applyBorder="1">
      <alignment/>
      <protection/>
    </xf>
    <xf numFmtId="10" fontId="0" fillId="0" borderId="66" xfId="57" applyNumberFormat="1" applyBorder="1">
      <alignment/>
      <protection/>
    </xf>
    <xf numFmtId="10" fontId="3" fillId="0" borderId="26" xfId="57" applyNumberFormat="1" applyFont="1" applyBorder="1">
      <alignment/>
      <protection/>
    </xf>
    <xf numFmtId="0" fontId="0" fillId="0" borderId="81" xfId="57" applyBorder="1">
      <alignment/>
      <protection/>
    </xf>
    <xf numFmtId="0" fontId="3" fillId="0" borderId="38" xfId="57" applyFont="1" applyBorder="1">
      <alignment/>
      <protection/>
    </xf>
    <xf numFmtId="0" fontId="0" fillId="0" borderId="28" xfId="57" applyBorder="1" applyAlignment="1">
      <alignment horizontal="left"/>
      <protection/>
    </xf>
    <xf numFmtId="0" fontId="0" fillId="0" borderId="28" xfId="57" applyBorder="1" applyAlignment="1">
      <alignment horizontal="left" vertical="center"/>
      <protection/>
    </xf>
    <xf numFmtId="0" fontId="0" fillId="0" borderId="36" xfId="57" applyBorder="1" applyAlignment="1">
      <alignment horizontal="left"/>
      <protection/>
    </xf>
    <xf numFmtId="0" fontId="2" fillId="0" borderId="67" xfId="57" applyFont="1" applyBorder="1" applyAlignment="1">
      <alignment horizontal="center" vertical="center"/>
      <protection/>
    </xf>
    <xf numFmtId="0" fontId="0" fillId="0" borderId="58" xfId="57" applyBorder="1" applyAlignment="1">
      <alignment horizontal="left"/>
      <protection/>
    </xf>
    <xf numFmtId="0" fontId="0" fillId="0" borderId="59" xfId="57" applyBorder="1" applyAlignment="1">
      <alignment horizontal="left"/>
      <protection/>
    </xf>
    <xf numFmtId="0" fontId="0" fillId="0" borderId="35" xfId="57" applyBorder="1" applyAlignment="1">
      <alignment horizontal="left"/>
      <protection/>
    </xf>
    <xf numFmtId="10" fontId="3" fillId="0" borderId="76" xfId="57" applyNumberFormat="1" applyFont="1" applyBorder="1">
      <alignment/>
      <protection/>
    </xf>
    <xf numFmtId="10" fontId="0" fillId="0" borderId="29" xfId="57" applyNumberFormat="1" applyBorder="1">
      <alignment/>
      <protection/>
    </xf>
    <xf numFmtId="10" fontId="0" fillId="0" borderId="37" xfId="57" applyNumberFormat="1" applyBorder="1">
      <alignment/>
      <protection/>
    </xf>
    <xf numFmtId="0" fontId="0" fillId="0" borderId="87" xfId="57" applyBorder="1" applyAlignment="1">
      <alignment horizontal="left"/>
      <protection/>
    </xf>
    <xf numFmtId="185" fontId="1" fillId="0" borderId="67" xfId="57" applyNumberFormat="1" applyFont="1" applyBorder="1" applyAlignment="1">
      <alignment horizontal="left"/>
      <protection/>
    </xf>
    <xf numFmtId="185" fontId="2" fillId="0" borderId="77" xfId="57" applyNumberFormat="1" applyFont="1" applyBorder="1" applyAlignment="1">
      <alignment horizontal="left"/>
      <protection/>
    </xf>
    <xf numFmtId="185" fontId="1" fillId="0" borderId="70" xfId="57" applyNumberFormat="1" applyFont="1" applyBorder="1">
      <alignment/>
      <protection/>
    </xf>
    <xf numFmtId="0" fontId="0" fillId="0" borderId="35" xfId="57" applyBorder="1">
      <alignment/>
      <protection/>
    </xf>
    <xf numFmtId="0" fontId="1" fillId="0" borderId="41" xfId="0" applyFont="1" applyFill="1" applyBorder="1" applyAlignment="1">
      <alignment horizontal="center"/>
    </xf>
    <xf numFmtId="188" fontId="1" fillId="0" borderId="39" xfId="60" applyNumberFormat="1" applyFont="1" applyFill="1" applyBorder="1" applyAlignment="1">
      <alignment horizontal="center"/>
    </xf>
    <xf numFmtId="188" fontId="1" fillId="0" borderId="31" xfId="6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8" fontId="2" fillId="0" borderId="26" xfId="6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8" fontId="3" fillId="0" borderId="26" xfId="0" applyNumberFormat="1" applyFont="1" applyFill="1" applyBorder="1" applyAlignment="1">
      <alignment wrapText="1"/>
    </xf>
    <xf numFmtId="185" fontId="1" fillId="0" borderId="16" xfId="0" applyNumberFormat="1" applyFont="1" applyBorder="1" applyAlignment="1">
      <alignment horizontal="left"/>
    </xf>
    <xf numFmtId="185" fontId="1" fillId="0" borderId="17" xfId="0" applyNumberFormat="1" applyFont="1" applyBorder="1" applyAlignment="1">
      <alignment/>
    </xf>
    <xf numFmtId="185" fontId="1" fillId="0" borderId="17" xfId="0" applyNumberFormat="1" applyFont="1" applyBorder="1" applyAlignment="1">
      <alignment horizontal="center"/>
    </xf>
    <xf numFmtId="15" fontId="1" fillId="0" borderId="0" xfId="0" applyNumberFormat="1" applyFont="1" applyAlignment="1">
      <alignment horizontal="left"/>
    </xf>
    <xf numFmtId="0" fontId="2" fillId="0" borderId="81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1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81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4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71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8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2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88" xfId="0" applyFont="1" applyBorder="1" applyAlignment="1">
      <alignment horizontal="center" vertical="top" wrapText="1"/>
    </xf>
    <xf numFmtId="0" fontId="4" fillId="0" borderId="76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/>
    </xf>
    <xf numFmtId="0" fontId="9" fillId="0" borderId="48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56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9" fillId="0" borderId="73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74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8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217" fontId="1" fillId="0" borderId="0" xfId="0" applyNumberFormat="1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2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66" xfId="57" applyFont="1" applyBorder="1" applyAlignment="1">
      <alignment horizontal="center" vertical="center"/>
      <protection/>
    </xf>
    <xf numFmtId="0" fontId="2" fillId="0" borderId="76" xfId="57" applyFont="1" applyBorder="1" applyAlignment="1">
      <alignment horizontal="center" vertical="center"/>
      <protection/>
    </xf>
    <xf numFmtId="0" fontId="3" fillId="0" borderId="22" xfId="57" applyFont="1" applyBorder="1" applyAlignment="1">
      <alignment horizontal="center" vertical="center"/>
      <protection/>
    </xf>
    <xf numFmtId="0" fontId="3" fillId="0" borderId="17" xfId="57" applyFont="1" applyBorder="1" applyAlignment="1">
      <alignment horizontal="center" vertical="center"/>
      <protection/>
    </xf>
    <xf numFmtId="0" fontId="3" fillId="0" borderId="29" xfId="57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wrapText="1"/>
    </xf>
    <xf numFmtId="0" fontId="3" fillId="0" borderId="72" xfId="57" applyFont="1" applyBorder="1" applyAlignment="1">
      <alignment horizontal="center" vertical="center"/>
      <protection/>
    </xf>
    <xf numFmtId="0" fontId="3" fillId="0" borderId="52" xfId="57" applyFont="1" applyBorder="1" applyAlignment="1">
      <alignment horizontal="center" vertical="center"/>
      <protection/>
    </xf>
    <xf numFmtId="216" fontId="0" fillId="0" borderId="0" xfId="57" applyNumberFormat="1" applyFont="1" applyAlignment="1">
      <alignment horizontal="left"/>
      <protection/>
    </xf>
    <xf numFmtId="0" fontId="0" fillId="0" borderId="64" xfId="57" applyBorder="1" applyAlignment="1">
      <alignment horizontal="center"/>
      <protection/>
    </xf>
    <xf numFmtId="0" fontId="0" fillId="0" borderId="0" xfId="57" applyAlignment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217" fontId="0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2" fillId="0" borderId="25" xfId="57" applyFont="1" applyBorder="1" applyAlignment="1">
      <alignment horizontal="center" vertical="center"/>
      <protection/>
    </xf>
    <xf numFmtId="0" fontId="2" fillId="0" borderId="37" xfId="57" applyFont="1" applyBorder="1" applyAlignment="1">
      <alignment horizontal="center" vertical="center"/>
      <protection/>
    </xf>
    <xf numFmtId="202" fontId="0" fillId="0" borderId="0" xfId="5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1.8515625" style="0" customWidth="1"/>
    <col min="2" max="2" width="7.28125" style="0" bestFit="1" customWidth="1"/>
    <col min="3" max="3" width="8.57421875" style="0" bestFit="1" customWidth="1"/>
    <col min="4" max="4" width="10.00390625" style="0" customWidth="1"/>
    <col min="5" max="5" width="9.140625" style="0" bestFit="1" customWidth="1"/>
    <col min="6" max="6" width="7.28125" style="0" bestFit="1" customWidth="1"/>
    <col min="7" max="7" width="6.28125" style="0" bestFit="1" customWidth="1"/>
    <col min="8" max="8" width="7.28125" style="0" customWidth="1"/>
    <col min="9" max="9" width="7.28125" style="0" bestFit="1" customWidth="1"/>
    <col min="10" max="10" width="8.57421875" style="0" bestFit="1" customWidth="1"/>
    <col min="11" max="11" width="10.8515625" style="0" bestFit="1" customWidth="1"/>
    <col min="12" max="12" width="9.140625" style="0" bestFit="1" customWidth="1"/>
    <col min="13" max="13" width="7.28125" style="0" bestFit="1" customWidth="1"/>
    <col min="14" max="14" width="6.28125" style="0" bestFit="1" customWidth="1"/>
    <col min="15" max="15" width="7.57421875" style="0" customWidth="1"/>
    <col min="16" max="17" width="7.00390625" style="0" customWidth="1"/>
    <col min="18" max="18" width="8.421875" style="0" customWidth="1"/>
  </cols>
  <sheetData>
    <row r="1" spans="16:18" ht="12.75">
      <c r="P1" s="574"/>
      <c r="Q1" s="574"/>
      <c r="R1" s="574"/>
    </row>
    <row r="2" spans="1:18" ht="15" customHeight="1">
      <c r="A2" s="34"/>
      <c r="B2" s="34"/>
      <c r="C2" s="34"/>
      <c r="D2" s="25" t="s">
        <v>89</v>
      </c>
      <c r="E2" s="71"/>
      <c r="F2" s="71"/>
      <c r="G2" s="71"/>
      <c r="H2" s="71"/>
      <c r="I2" s="71"/>
      <c r="J2" s="71"/>
      <c r="K2" s="71"/>
      <c r="L2" s="71"/>
      <c r="M2" s="71"/>
      <c r="N2" s="34"/>
      <c r="O2" s="34"/>
      <c r="P2" s="34"/>
      <c r="Q2" s="34"/>
      <c r="R2" s="34"/>
    </row>
    <row r="3" spans="1:18" ht="13.5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8.75" customHeight="1">
      <c r="A4" s="569" t="s">
        <v>39</v>
      </c>
      <c r="B4" s="571" t="s">
        <v>76</v>
      </c>
      <c r="C4" s="572"/>
      <c r="D4" s="572"/>
      <c r="E4" s="572"/>
      <c r="F4" s="572"/>
      <c r="G4" s="572"/>
      <c r="H4" s="573"/>
      <c r="I4" s="572" t="s">
        <v>77</v>
      </c>
      <c r="J4" s="572"/>
      <c r="K4" s="572"/>
      <c r="L4" s="572"/>
      <c r="M4" s="572"/>
      <c r="N4" s="572"/>
      <c r="O4" s="573"/>
      <c r="P4" s="575" t="s">
        <v>90</v>
      </c>
      <c r="Q4" s="577">
        <v>2012</v>
      </c>
      <c r="R4" s="579" t="s">
        <v>83</v>
      </c>
    </row>
    <row r="5" spans="1:18" ht="26.25" customHeight="1" thickBot="1">
      <c r="A5" s="570"/>
      <c r="B5" s="221" t="s">
        <v>78</v>
      </c>
      <c r="C5" s="222" t="s">
        <v>79</v>
      </c>
      <c r="D5" s="223" t="s">
        <v>80</v>
      </c>
      <c r="E5" s="222" t="s">
        <v>81</v>
      </c>
      <c r="F5" s="222" t="s">
        <v>82</v>
      </c>
      <c r="G5" s="224" t="s">
        <v>26</v>
      </c>
      <c r="H5" s="225" t="s">
        <v>84</v>
      </c>
      <c r="I5" s="221" t="s">
        <v>78</v>
      </c>
      <c r="J5" s="222" t="s">
        <v>79</v>
      </c>
      <c r="K5" s="223" t="s">
        <v>80</v>
      </c>
      <c r="L5" s="222" t="s">
        <v>81</v>
      </c>
      <c r="M5" s="222" t="s">
        <v>82</v>
      </c>
      <c r="N5" s="222" t="s">
        <v>26</v>
      </c>
      <c r="O5" s="226" t="s">
        <v>84</v>
      </c>
      <c r="P5" s="576"/>
      <c r="Q5" s="578"/>
      <c r="R5" s="580"/>
    </row>
    <row r="6" spans="1:20" ht="15.75" customHeight="1">
      <c r="A6" s="227" t="s">
        <v>40</v>
      </c>
      <c r="B6" s="35">
        <v>5406</v>
      </c>
      <c r="C6" s="35">
        <v>2813</v>
      </c>
      <c r="D6" s="27">
        <v>3345</v>
      </c>
      <c r="E6" s="27">
        <v>4412</v>
      </c>
      <c r="F6" s="27">
        <v>2650</v>
      </c>
      <c r="G6" s="27">
        <f aca="true" t="shared" si="0" ref="G6:G11">SUM(B6:F6)</f>
        <v>18626</v>
      </c>
      <c r="H6" s="263">
        <f aca="true" t="shared" si="1" ref="H6:H12">+G6/P6</f>
        <v>0.5107771622881588</v>
      </c>
      <c r="I6" s="26">
        <v>4276</v>
      </c>
      <c r="J6" s="27">
        <v>2474</v>
      </c>
      <c r="K6" s="27">
        <v>4248</v>
      </c>
      <c r="L6" s="27">
        <v>3565</v>
      </c>
      <c r="M6" s="27">
        <v>3277</v>
      </c>
      <c r="N6" s="27">
        <f aca="true" t="shared" si="2" ref="N6:N11">SUM(I6:M6)</f>
        <v>17840</v>
      </c>
      <c r="O6" s="263">
        <f aca="true" t="shared" si="3" ref="O6:O12">+N6/P6</f>
        <v>0.48922283771184116</v>
      </c>
      <c r="P6" s="26">
        <f aca="true" t="shared" si="4" ref="P6:P11">+G6+N6</f>
        <v>36466</v>
      </c>
      <c r="Q6" s="27">
        <v>32281</v>
      </c>
      <c r="R6" s="264">
        <f aca="true" t="shared" si="5" ref="R6:R12">+(P6/Q6)-1</f>
        <v>0.12964282395217008</v>
      </c>
      <c r="T6" s="17"/>
    </row>
    <row r="7" spans="1:20" ht="15.75" customHeight="1">
      <c r="A7" s="228" t="s">
        <v>41</v>
      </c>
      <c r="B7" s="36">
        <v>5393</v>
      </c>
      <c r="C7" s="36">
        <v>2834</v>
      </c>
      <c r="D7" s="29">
        <v>3269</v>
      </c>
      <c r="E7" s="29">
        <v>4446</v>
      </c>
      <c r="F7" s="29">
        <v>2652</v>
      </c>
      <c r="G7" s="31">
        <f t="shared" si="0"/>
        <v>18594</v>
      </c>
      <c r="H7" s="256">
        <f t="shared" si="1"/>
        <v>0.5134903758526415</v>
      </c>
      <c r="I7" s="28">
        <v>4078</v>
      </c>
      <c r="J7" s="29">
        <v>2434</v>
      </c>
      <c r="K7" s="29">
        <v>4186</v>
      </c>
      <c r="L7" s="29">
        <v>3576</v>
      </c>
      <c r="M7" s="29">
        <v>3343</v>
      </c>
      <c r="N7" s="31">
        <f t="shared" si="2"/>
        <v>17617</v>
      </c>
      <c r="O7" s="200">
        <f t="shared" si="3"/>
        <v>0.48650962414735854</v>
      </c>
      <c r="P7" s="255">
        <f t="shared" si="4"/>
        <v>36211</v>
      </c>
      <c r="Q7" s="29">
        <v>32291</v>
      </c>
      <c r="R7" s="265">
        <f t="shared" si="5"/>
        <v>0.12139605462822467</v>
      </c>
      <c r="T7" s="17"/>
    </row>
    <row r="8" spans="1:20" ht="15.75" customHeight="1">
      <c r="A8" s="228" t="s">
        <v>42</v>
      </c>
      <c r="B8" s="36">
        <v>5365</v>
      </c>
      <c r="C8" s="36">
        <v>2832</v>
      </c>
      <c r="D8" s="29">
        <v>3200</v>
      </c>
      <c r="E8" s="29">
        <v>4337</v>
      </c>
      <c r="F8" s="29">
        <v>2420</v>
      </c>
      <c r="G8" s="31">
        <f t="shared" si="0"/>
        <v>18154</v>
      </c>
      <c r="H8" s="256">
        <f t="shared" si="1"/>
        <v>0.5152409604359426</v>
      </c>
      <c r="I8" s="28">
        <v>4114</v>
      </c>
      <c r="J8" s="29">
        <v>2403</v>
      </c>
      <c r="K8" s="29">
        <v>4145</v>
      </c>
      <c r="L8" s="29">
        <v>3469</v>
      </c>
      <c r="M8" s="29">
        <v>2949</v>
      </c>
      <c r="N8" s="31">
        <f t="shared" si="2"/>
        <v>17080</v>
      </c>
      <c r="O8" s="200">
        <f t="shared" si="3"/>
        <v>0.48475903956405747</v>
      </c>
      <c r="P8" s="255">
        <f t="shared" si="4"/>
        <v>35234</v>
      </c>
      <c r="Q8" s="29">
        <v>31796</v>
      </c>
      <c r="R8" s="265">
        <f t="shared" si="5"/>
        <v>0.1081268084035727</v>
      </c>
      <c r="T8" s="17"/>
    </row>
    <row r="9" spans="1:20" ht="15.75" customHeight="1">
      <c r="A9" s="228" t="s">
        <v>43</v>
      </c>
      <c r="B9" s="36">
        <v>5671</v>
      </c>
      <c r="C9" s="36">
        <v>2883</v>
      </c>
      <c r="D9" s="29">
        <v>2098</v>
      </c>
      <c r="E9" s="29">
        <v>4555</v>
      </c>
      <c r="F9" s="29">
        <v>1926</v>
      </c>
      <c r="G9" s="31">
        <f t="shared" si="0"/>
        <v>17133</v>
      </c>
      <c r="H9" s="256">
        <f t="shared" si="1"/>
        <v>0.5373036033493274</v>
      </c>
      <c r="I9" s="30">
        <v>4293</v>
      </c>
      <c r="J9" s="31">
        <v>2275</v>
      </c>
      <c r="K9" s="31">
        <v>2742</v>
      </c>
      <c r="L9" s="31">
        <v>3520</v>
      </c>
      <c r="M9" s="31">
        <v>1924</v>
      </c>
      <c r="N9" s="31">
        <f t="shared" si="2"/>
        <v>14754</v>
      </c>
      <c r="O9" s="200">
        <f t="shared" si="3"/>
        <v>0.4626963966506727</v>
      </c>
      <c r="P9" s="255">
        <f t="shared" si="4"/>
        <v>31887</v>
      </c>
      <c r="Q9" s="31">
        <v>27901</v>
      </c>
      <c r="R9" s="265">
        <f t="shared" si="5"/>
        <v>0.1428622630013261</v>
      </c>
      <c r="T9" s="17"/>
    </row>
    <row r="10" spans="1:20" ht="15.75" customHeight="1">
      <c r="A10" s="228" t="s">
        <v>44</v>
      </c>
      <c r="B10" s="255">
        <v>5600</v>
      </c>
      <c r="C10" s="255">
        <v>2718</v>
      </c>
      <c r="D10" s="31">
        <v>1250</v>
      </c>
      <c r="E10" s="31">
        <v>4414</v>
      </c>
      <c r="F10" s="31">
        <v>1580</v>
      </c>
      <c r="G10" s="31">
        <f t="shared" si="0"/>
        <v>15562</v>
      </c>
      <c r="H10" s="256">
        <f t="shared" si="1"/>
        <v>0.5561631106822487</v>
      </c>
      <c r="I10" s="30">
        <v>4276</v>
      </c>
      <c r="J10" s="31">
        <v>2042</v>
      </c>
      <c r="K10" s="31">
        <v>1192</v>
      </c>
      <c r="L10" s="31">
        <v>3459</v>
      </c>
      <c r="M10" s="31">
        <v>1450</v>
      </c>
      <c r="N10" s="31">
        <f t="shared" si="2"/>
        <v>12419</v>
      </c>
      <c r="O10" s="200">
        <f t="shared" si="3"/>
        <v>0.44383688931775134</v>
      </c>
      <c r="P10" s="255">
        <f t="shared" si="4"/>
        <v>27981</v>
      </c>
      <c r="Q10" s="31">
        <v>24512</v>
      </c>
      <c r="R10" s="257">
        <f t="shared" si="5"/>
        <v>0.14152251958224538</v>
      </c>
      <c r="T10" s="17"/>
    </row>
    <row r="11" spans="1:20" ht="15.75" customHeight="1" thickBot="1">
      <c r="A11" s="229" t="s">
        <v>45</v>
      </c>
      <c r="B11" s="258">
        <v>5632</v>
      </c>
      <c r="C11" s="258">
        <v>2629</v>
      </c>
      <c r="D11" s="15">
        <v>947</v>
      </c>
      <c r="E11" s="15">
        <v>4266</v>
      </c>
      <c r="F11" s="15">
        <v>1407</v>
      </c>
      <c r="G11" s="15">
        <f t="shared" si="0"/>
        <v>14881</v>
      </c>
      <c r="H11" s="61">
        <f t="shared" si="1"/>
        <v>0.5260162601626016</v>
      </c>
      <c r="I11" s="16">
        <v>5046</v>
      </c>
      <c r="J11" s="15">
        <v>2302</v>
      </c>
      <c r="K11" s="15">
        <v>735</v>
      </c>
      <c r="L11" s="15">
        <v>3923</v>
      </c>
      <c r="M11" s="15">
        <v>1403</v>
      </c>
      <c r="N11" s="15">
        <f t="shared" si="2"/>
        <v>13409</v>
      </c>
      <c r="O11" s="259">
        <f t="shared" si="3"/>
        <v>0.4739837398373984</v>
      </c>
      <c r="P11" s="258">
        <f t="shared" si="4"/>
        <v>28290</v>
      </c>
      <c r="Q11" s="262">
        <v>24090</v>
      </c>
      <c r="R11" s="260">
        <f t="shared" si="5"/>
        <v>0.17434620174346205</v>
      </c>
      <c r="T11" s="17"/>
    </row>
    <row r="12" spans="1:20" ht="72.75" thickBot="1">
      <c r="A12" s="230" t="s">
        <v>68</v>
      </c>
      <c r="B12" s="59">
        <f>AVERAGE(B6:B11)</f>
        <v>5511.166666666667</v>
      </c>
      <c r="C12" s="139">
        <f aca="true" t="shared" si="6" ref="C12:Q12">AVERAGE(C6:C11)</f>
        <v>2784.8333333333335</v>
      </c>
      <c r="D12" s="139">
        <f t="shared" si="6"/>
        <v>2351.5</v>
      </c>
      <c r="E12" s="139">
        <f t="shared" si="6"/>
        <v>4405</v>
      </c>
      <c r="F12" s="139">
        <f t="shared" si="6"/>
        <v>2105.8333333333335</v>
      </c>
      <c r="G12" s="139">
        <f t="shared" si="6"/>
        <v>17158.333333333332</v>
      </c>
      <c r="H12" s="105">
        <f t="shared" si="1"/>
        <v>0.5250702558793078</v>
      </c>
      <c r="I12" s="139">
        <f t="shared" si="6"/>
        <v>4347.166666666667</v>
      </c>
      <c r="J12" s="139">
        <f t="shared" si="6"/>
        <v>2321.6666666666665</v>
      </c>
      <c r="K12" s="139">
        <f t="shared" si="6"/>
        <v>2874.6666666666665</v>
      </c>
      <c r="L12" s="139">
        <f t="shared" si="6"/>
        <v>3585.3333333333335</v>
      </c>
      <c r="M12" s="139">
        <f t="shared" si="6"/>
        <v>2391</v>
      </c>
      <c r="N12" s="139">
        <f t="shared" si="6"/>
        <v>15519.833333333334</v>
      </c>
      <c r="O12" s="105">
        <f t="shared" si="3"/>
        <v>0.4749297441206922</v>
      </c>
      <c r="P12" s="139">
        <f t="shared" si="6"/>
        <v>32678.166666666668</v>
      </c>
      <c r="Q12" s="139">
        <f t="shared" si="6"/>
        <v>28811.833333333332</v>
      </c>
      <c r="R12" s="261">
        <f t="shared" si="5"/>
        <v>0.1341925482006816</v>
      </c>
      <c r="S12" s="5"/>
      <c r="T12" s="17"/>
    </row>
    <row r="13" spans="1:20" ht="15.75" customHeight="1">
      <c r="A13" s="231" t="s">
        <v>49</v>
      </c>
      <c r="B13" s="255">
        <v>5514</v>
      </c>
      <c r="C13" s="255">
        <v>2588</v>
      </c>
      <c r="D13" s="31">
        <v>905</v>
      </c>
      <c r="E13" s="31">
        <v>4277</v>
      </c>
      <c r="F13" s="31">
        <v>1288</v>
      </c>
      <c r="G13" s="27">
        <f>SUM(B13:F13)</f>
        <v>14572</v>
      </c>
      <c r="H13" s="256">
        <f aca="true" t="shared" si="7" ref="H13:H20">+G13/P13</f>
        <v>0.4934976971010566</v>
      </c>
      <c r="I13" s="30">
        <v>5732</v>
      </c>
      <c r="J13" s="31">
        <v>2457</v>
      </c>
      <c r="K13" s="31">
        <v>744</v>
      </c>
      <c r="L13" s="31">
        <v>4533</v>
      </c>
      <c r="M13" s="31">
        <v>1490</v>
      </c>
      <c r="N13" s="31">
        <f>SUM(I13:M13)</f>
        <v>14956</v>
      </c>
      <c r="O13" s="200">
        <f aca="true" t="shared" si="8" ref="O13:O20">+N13/P13</f>
        <v>0.5065023028989434</v>
      </c>
      <c r="P13" s="255">
        <f aca="true" t="shared" si="9" ref="P13:P20">+G13+N13</f>
        <v>29528</v>
      </c>
      <c r="Q13" s="31">
        <v>25399</v>
      </c>
      <c r="R13" s="257">
        <f aca="true" t="shared" si="10" ref="R13:R20">+(P13/Q13)-1</f>
        <v>0.16256545533288702</v>
      </c>
      <c r="T13" s="17"/>
    </row>
    <row r="14" spans="1:20" ht="15.75" customHeight="1">
      <c r="A14" s="228" t="s">
        <v>50</v>
      </c>
      <c r="B14" s="255">
        <v>5646</v>
      </c>
      <c r="C14" s="255">
        <v>2483</v>
      </c>
      <c r="D14" s="31">
        <v>876</v>
      </c>
      <c r="E14" s="31">
        <v>4262</v>
      </c>
      <c r="F14" s="31">
        <v>1195</v>
      </c>
      <c r="G14" s="31">
        <f>SUM(B14:F14)</f>
        <v>14462</v>
      </c>
      <c r="H14" s="256">
        <f t="shared" si="7"/>
        <v>0.4765859284890427</v>
      </c>
      <c r="I14" s="30">
        <v>6416</v>
      </c>
      <c r="J14" s="31">
        <v>2495</v>
      </c>
      <c r="K14" s="31">
        <v>743</v>
      </c>
      <c r="L14" s="31">
        <v>4764</v>
      </c>
      <c r="M14" s="31">
        <v>1465</v>
      </c>
      <c r="N14" s="31">
        <v>15883</v>
      </c>
      <c r="O14" s="200">
        <f t="shared" si="8"/>
        <v>0.5234140715109573</v>
      </c>
      <c r="P14" s="28">
        <f t="shared" si="9"/>
        <v>30345</v>
      </c>
      <c r="Q14" s="31">
        <v>24866</v>
      </c>
      <c r="R14" s="265">
        <f t="shared" si="10"/>
        <v>0.22034102790959542</v>
      </c>
      <c r="T14" s="9"/>
    </row>
    <row r="15" spans="1:18" ht="15.75" customHeight="1">
      <c r="A15" s="228" t="s">
        <v>51</v>
      </c>
      <c r="B15" s="255">
        <v>5402</v>
      </c>
      <c r="C15" s="255">
        <v>2459</v>
      </c>
      <c r="D15" s="31">
        <v>878</v>
      </c>
      <c r="E15" s="31">
        <v>4052</v>
      </c>
      <c r="F15" s="31">
        <v>1168</v>
      </c>
      <c r="G15" s="31">
        <f>SUM(B15:F15)</f>
        <v>13959</v>
      </c>
      <c r="H15" s="256">
        <f t="shared" si="7"/>
        <v>0.47238578680203047</v>
      </c>
      <c r="I15" s="184">
        <v>6300</v>
      </c>
      <c r="J15" s="262">
        <v>2516</v>
      </c>
      <c r="K15" s="262">
        <v>737</v>
      </c>
      <c r="L15" s="262">
        <v>4627</v>
      </c>
      <c r="M15" s="262">
        <v>1411</v>
      </c>
      <c r="N15" s="31">
        <v>15591</v>
      </c>
      <c r="O15" s="200">
        <f t="shared" si="8"/>
        <v>0.5276142131979695</v>
      </c>
      <c r="P15" s="28">
        <f t="shared" si="9"/>
        <v>29550</v>
      </c>
      <c r="Q15" s="31">
        <v>24913</v>
      </c>
      <c r="R15" s="260">
        <f t="shared" si="10"/>
        <v>0.18612772448119452</v>
      </c>
    </row>
    <row r="16" spans="1:18" ht="15.75" customHeight="1">
      <c r="A16" s="228" t="s">
        <v>52</v>
      </c>
      <c r="B16" s="36">
        <v>5293</v>
      </c>
      <c r="C16" s="36">
        <v>2337</v>
      </c>
      <c r="D16" s="29">
        <v>973</v>
      </c>
      <c r="E16" s="29">
        <v>4067</v>
      </c>
      <c r="F16" s="29">
        <v>1180</v>
      </c>
      <c r="G16" s="31">
        <f>SUM(B16:F16)</f>
        <v>13850</v>
      </c>
      <c r="H16" s="256">
        <f t="shared" si="7"/>
        <v>0.5112021555383309</v>
      </c>
      <c r="I16" s="28">
        <v>5350</v>
      </c>
      <c r="J16" s="29">
        <v>2071</v>
      </c>
      <c r="K16" s="29">
        <v>717</v>
      </c>
      <c r="L16" s="29">
        <v>3835</v>
      </c>
      <c r="M16" s="29">
        <v>1270</v>
      </c>
      <c r="N16" s="31">
        <f>SUM(I16:M16)</f>
        <v>13243</v>
      </c>
      <c r="O16" s="200">
        <f t="shared" si="8"/>
        <v>0.4887978444616691</v>
      </c>
      <c r="P16" s="28">
        <f t="shared" si="9"/>
        <v>27093</v>
      </c>
      <c r="Q16" s="29">
        <f>'applicants by month 2006-2013'!S15</f>
        <v>22957</v>
      </c>
      <c r="R16" s="260">
        <f t="shared" si="10"/>
        <v>0.1801629132726401</v>
      </c>
    </row>
    <row r="17" spans="1:18" ht="15.75" customHeight="1">
      <c r="A17" s="228" t="s">
        <v>53</v>
      </c>
      <c r="B17" s="36">
        <v>5045</v>
      </c>
      <c r="C17" s="36">
        <v>2595</v>
      </c>
      <c r="D17" s="29">
        <v>2901</v>
      </c>
      <c r="E17" s="29">
        <v>4122</v>
      </c>
      <c r="F17" s="29">
        <v>1853</v>
      </c>
      <c r="G17" s="31">
        <f>SUM(B17:F17)</f>
        <v>16516</v>
      </c>
      <c r="H17" s="256">
        <f t="shared" si="7"/>
        <v>0.5059583984315167</v>
      </c>
      <c r="I17" s="28">
        <v>4721</v>
      </c>
      <c r="J17" s="29">
        <v>2287</v>
      </c>
      <c r="K17" s="29">
        <v>3339</v>
      </c>
      <c r="L17" s="29">
        <v>3637</v>
      </c>
      <c r="M17" s="29">
        <v>2143</v>
      </c>
      <c r="N17" s="31">
        <f>SUM(I17:M17)</f>
        <v>16127</v>
      </c>
      <c r="O17" s="200">
        <f t="shared" si="8"/>
        <v>0.4940416015684833</v>
      </c>
      <c r="P17" s="28">
        <f t="shared" si="9"/>
        <v>32643</v>
      </c>
      <c r="Q17" s="29">
        <f>'applicants by month 2006-2013'!S16</f>
        <v>29393</v>
      </c>
      <c r="R17" s="260">
        <f t="shared" si="10"/>
        <v>0.11057054400707655</v>
      </c>
    </row>
    <row r="18" spans="1:18" ht="15.75" customHeight="1" thickBot="1">
      <c r="A18" s="229" t="s">
        <v>54</v>
      </c>
      <c r="B18" s="258">
        <v>5146</v>
      </c>
      <c r="C18" s="258">
        <v>2776</v>
      </c>
      <c r="D18" s="15">
        <v>3456</v>
      </c>
      <c r="E18" s="15">
        <v>4398</v>
      </c>
      <c r="F18" s="15">
        <v>2618</v>
      </c>
      <c r="G18" s="557">
        <f>B18+C18+D18+E18+F18</f>
        <v>18394</v>
      </c>
      <c r="H18" s="558">
        <f t="shared" si="7"/>
        <v>0.5009804989650288</v>
      </c>
      <c r="I18" s="16">
        <v>4693</v>
      </c>
      <c r="J18" s="258">
        <v>2515</v>
      </c>
      <c r="K18" s="15">
        <v>4220</v>
      </c>
      <c r="L18" s="15">
        <v>3818</v>
      </c>
      <c r="M18" s="15">
        <v>3076</v>
      </c>
      <c r="N18" s="557">
        <f>SUM(I18:M18)</f>
        <v>18322</v>
      </c>
      <c r="O18" s="559">
        <f t="shared" si="8"/>
        <v>0.4990195010349711</v>
      </c>
      <c r="P18" s="560">
        <f t="shared" si="9"/>
        <v>36716</v>
      </c>
      <c r="Q18" s="561">
        <f>'applicants by month 2006-2013'!S17</f>
        <v>33374</v>
      </c>
      <c r="R18" s="380">
        <f t="shared" si="10"/>
        <v>0.1001378318451489</v>
      </c>
    </row>
    <row r="19" spans="1:21" ht="72.75" thickBot="1">
      <c r="A19" s="230" t="s">
        <v>69</v>
      </c>
      <c r="B19" s="384">
        <f aca="true" t="shared" si="11" ref="B19:G19">AVERAGE(B13:B18)</f>
        <v>5341</v>
      </c>
      <c r="C19" s="384">
        <f t="shared" si="11"/>
        <v>2539.6666666666665</v>
      </c>
      <c r="D19" s="384">
        <f t="shared" si="11"/>
        <v>1664.8333333333333</v>
      </c>
      <c r="E19" s="384">
        <f t="shared" si="11"/>
        <v>4196.333333333333</v>
      </c>
      <c r="F19" s="384">
        <f t="shared" si="11"/>
        <v>1550.3333333333333</v>
      </c>
      <c r="G19" s="384">
        <f t="shared" si="11"/>
        <v>15292.166666666666</v>
      </c>
      <c r="H19" s="562">
        <f t="shared" si="7"/>
        <v>0.4936274377942166</v>
      </c>
      <c r="I19" s="384">
        <f>AVERAGE(I13:I18)</f>
        <v>5535.333333333333</v>
      </c>
      <c r="J19" s="384">
        <f>AVERAGE(J13:J18)</f>
        <v>2390.1666666666665</v>
      </c>
      <c r="K19" s="384">
        <f>AVERAGE(K13:K18)</f>
        <v>1750</v>
      </c>
      <c r="L19" s="384">
        <f>AVERAGE(L13:L18)</f>
        <v>4202.333333333333</v>
      </c>
      <c r="M19" s="384">
        <f>AVERAGE(M13:M18)</f>
        <v>1809.1666666666667</v>
      </c>
      <c r="N19" s="429">
        <f>SUM(I19:M19)</f>
        <v>15686.999999999998</v>
      </c>
      <c r="O19" s="105">
        <f t="shared" si="8"/>
        <v>0.5063725622057834</v>
      </c>
      <c r="P19" s="563">
        <f t="shared" si="9"/>
        <v>30979.166666666664</v>
      </c>
      <c r="Q19" s="429">
        <f>'applicants by month 2006-2013'!S18</f>
        <v>26817</v>
      </c>
      <c r="R19" s="261">
        <f t="shared" si="10"/>
        <v>0.15520627462679126</v>
      </c>
      <c r="S19" s="103"/>
      <c r="T19" s="103"/>
      <c r="U19" s="103"/>
    </row>
    <row r="20" spans="1:19" ht="72.75" thickBot="1">
      <c r="A20" s="232" t="s">
        <v>70</v>
      </c>
      <c r="B20" s="139">
        <f>AVERAGE(B12,B19)</f>
        <v>5426.083333333334</v>
      </c>
      <c r="C20" s="139">
        <f aca="true" t="shared" si="12" ref="C20:M20">AVERAGE(C12,C19)</f>
        <v>2662.25</v>
      </c>
      <c r="D20" s="139">
        <f t="shared" si="12"/>
        <v>2008.1666666666665</v>
      </c>
      <c r="E20" s="139">
        <f t="shared" si="12"/>
        <v>4300.666666666666</v>
      </c>
      <c r="F20" s="139">
        <f t="shared" si="12"/>
        <v>1828.0833333333335</v>
      </c>
      <c r="G20" s="139">
        <f t="shared" si="12"/>
        <v>16225.25</v>
      </c>
      <c r="H20" s="562">
        <f t="shared" si="7"/>
        <v>0.5097684477305574</v>
      </c>
      <c r="I20" s="139">
        <f t="shared" si="12"/>
        <v>4941.25</v>
      </c>
      <c r="J20" s="139">
        <f t="shared" si="12"/>
        <v>2355.9166666666665</v>
      </c>
      <c r="K20" s="139">
        <f t="shared" si="12"/>
        <v>2312.333333333333</v>
      </c>
      <c r="L20" s="139">
        <f t="shared" si="12"/>
        <v>3893.833333333333</v>
      </c>
      <c r="M20" s="139">
        <f t="shared" si="12"/>
        <v>2100.0833333333335</v>
      </c>
      <c r="N20" s="429">
        <f>SUM(I20:M20)</f>
        <v>15603.416666666666</v>
      </c>
      <c r="O20" s="105">
        <f t="shared" si="8"/>
        <v>0.49023155226944265</v>
      </c>
      <c r="P20" s="563">
        <f t="shared" si="9"/>
        <v>31828.666666666664</v>
      </c>
      <c r="Q20" s="429">
        <f>'applicants by month 2006-2013'!S19</f>
        <v>27814.416666666668</v>
      </c>
      <c r="R20" s="261">
        <f t="shared" si="10"/>
        <v>0.14432263843989768</v>
      </c>
      <c r="S20" s="23"/>
    </row>
    <row r="21" spans="1:18" ht="12.75">
      <c r="A21" s="266"/>
      <c r="B21" s="103"/>
      <c r="C21" s="103"/>
      <c r="D21" s="103"/>
      <c r="E21" s="103"/>
      <c r="F21" s="103"/>
      <c r="G21" s="103"/>
      <c r="H21" s="267"/>
      <c r="I21" s="103"/>
      <c r="J21" s="103"/>
      <c r="K21" s="103"/>
      <c r="L21" s="103"/>
      <c r="M21" s="103"/>
      <c r="N21" s="103"/>
      <c r="O21" s="267"/>
      <c r="P21" s="103"/>
      <c r="Q21" s="103"/>
      <c r="R21" s="268"/>
    </row>
    <row r="22" spans="1:18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1"/>
      <c r="L22" s="271"/>
      <c r="M22" s="271"/>
      <c r="N22" s="271"/>
      <c r="O22" s="272"/>
      <c r="P22" s="271"/>
      <c r="Q22" s="271"/>
      <c r="R22" s="273"/>
    </row>
    <row r="23" spans="1:18" ht="12.75">
      <c r="A23" s="269"/>
      <c r="B23" s="274"/>
      <c r="C23" s="274"/>
      <c r="D23" s="274"/>
      <c r="E23" s="274"/>
      <c r="F23" s="274"/>
      <c r="G23" s="274"/>
      <c r="H23" s="81"/>
      <c r="I23" s="274"/>
      <c r="J23" s="274"/>
      <c r="K23" s="274"/>
      <c r="L23" s="274"/>
      <c r="M23" s="274"/>
      <c r="N23" s="274"/>
      <c r="O23" s="81"/>
      <c r="P23" s="274"/>
      <c r="Q23" s="274"/>
      <c r="R23" s="275"/>
    </row>
    <row r="24" spans="1:19" ht="12.75" customHeight="1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 t="s">
        <v>1</v>
      </c>
      <c r="N24" s="25"/>
      <c r="O24" s="25"/>
      <c r="P24" s="25"/>
      <c r="Q24" s="22"/>
      <c r="R24" s="22"/>
      <c r="S24" s="22"/>
    </row>
    <row r="25" spans="1:19" ht="12.75" customHeight="1">
      <c r="A25" s="568">
        <v>41687</v>
      </c>
      <c r="B25" s="56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5"/>
      <c r="O25" s="25"/>
      <c r="P25" s="25"/>
      <c r="Q25" s="22"/>
      <c r="R25" s="22"/>
      <c r="S25" s="22"/>
    </row>
    <row r="26" spans="1:1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50" t="s">
        <v>34</v>
      </c>
      <c r="O26" s="1"/>
      <c r="P26" s="1"/>
      <c r="Q26" s="1"/>
      <c r="R26" s="1"/>
    </row>
    <row r="27" spans="1:1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99" t="s">
        <v>35</v>
      </c>
      <c r="O27" s="1"/>
      <c r="P27" s="1"/>
      <c r="Q27" s="1"/>
      <c r="R27" s="1"/>
    </row>
    <row r="28" spans="1:1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4:18" ht="12.75">
      <c r="N31" s="1"/>
      <c r="O31" s="1"/>
      <c r="P31" s="1"/>
      <c r="Q31" s="1"/>
      <c r="R31" s="1"/>
    </row>
  </sheetData>
  <sheetProtection/>
  <mergeCells count="8">
    <mergeCell ref="A25:B25"/>
    <mergeCell ref="A4:A5"/>
    <mergeCell ref="B4:H4"/>
    <mergeCell ref="I4:O4"/>
    <mergeCell ref="P1:R1"/>
    <mergeCell ref="P4:P5"/>
    <mergeCell ref="Q4:Q5"/>
    <mergeCell ref="R4:R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3">
      <selection activeCell="F27" sqref="F27"/>
    </sheetView>
  </sheetViews>
  <sheetFormatPr defaultColWidth="9.140625" defaultRowHeight="12.75"/>
  <cols>
    <col min="1" max="1" width="4.8515625" style="327" customWidth="1"/>
    <col min="2" max="2" width="53.00390625" style="327" customWidth="1"/>
    <col min="3" max="3" width="12.8515625" style="327" customWidth="1"/>
    <col min="4" max="5" width="12.7109375" style="327" customWidth="1"/>
    <col min="6" max="6" width="11.8515625" style="327" customWidth="1"/>
    <col min="7" max="7" width="13.8515625" style="327" customWidth="1"/>
    <col min="8" max="8" width="14.28125" style="327" customWidth="1"/>
    <col min="9" max="16384" width="9.140625" style="327" customWidth="1"/>
  </cols>
  <sheetData>
    <row r="2" ht="20.25" customHeight="1">
      <c r="A2" s="326" t="s">
        <v>103</v>
      </c>
    </row>
    <row r="3" spans="1:7" ht="27.75" customHeight="1">
      <c r="A3" s="626" t="s">
        <v>105</v>
      </c>
      <c r="B3" s="626"/>
      <c r="C3" s="626"/>
      <c r="D3" s="626"/>
      <c r="E3" s="626"/>
      <c r="F3" s="626"/>
      <c r="G3" s="626"/>
    </row>
    <row r="4" spans="1:7" ht="12" customHeight="1" thickBot="1">
      <c r="A4" s="648"/>
      <c r="B4" s="648"/>
      <c r="C4" s="648"/>
      <c r="D4" s="648"/>
      <c r="E4" s="648"/>
      <c r="F4" s="648"/>
      <c r="G4" s="648"/>
    </row>
    <row r="5" spans="1:8" ht="12.75">
      <c r="A5" s="509"/>
      <c r="B5" s="518"/>
      <c r="C5" s="665" t="s">
        <v>27</v>
      </c>
      <c r="D5" s="666"/>
      <c r="E5" s="666"/>
      <c r="F5" s="666"/>
      <c r="G5" s="666"/>
      <c r="H5" s="667"/>
    </row>
    <row r="6" spans="1:8" ht="12.75" customHeight="1">
      <c r="A6" s="510" t="s">
        <v>3</v>
      </c>
      <c r="B6" s="519" t="s">
        <v>31</v>
      </c>
      <c r="C6" s="657" t="s">
        <v>28</v>
      </c>
      <c r="D6" s="658"/>
      <c r="E6" s="659" t="s">
        <v>29</v>
      </c>
      <c r="F6" s="660"/>
      <c r="G6" s="661" t="s">
        <v>26</v>
      </c>
      <c r="H6" s="663" t="s">
        <v>75</v>
      </c>
    </row>
    <row r="7" spans="1:8" ht="24.75" customHeight="1" thickBot="1">
      <c r="A7" s="531"/>
      <c r="B7" s="532"/>
      <c r="C7" s="533" t="s">
        <v>33</v>
      </c>
      <c r="D7" s="534" t="s">
        <v>32</v>
      </c>
      <c r="E7" s="534" t="s">
        <v>32</v>
      </c>
      <c r="F7" s="535" t="s">
        <v>30</v>
      </c>
      <c r="G7" s="662"/>
      <c r="H7" s="664"/>
    </row>
    <row r="8" spans="1:8" ht="15" customHeight="1">
      <c r="A8" s="526">
        <v>1</v>
      </c>
      <c r="B8" s="527" t="s">
        <v>4</v>
      </c>
      <c r="C8" s="528">
        <v>0</v>
      </c>
      <c r="D8" s="529">
        <v>0</v>
      </c>
      <c r="E8" s="530">
        <v>0</v>
      </c>
      <c r="F8" s="530">
        <v>165</v>
      </c>
      <c r="G8" s="375">
        <f>SUM(C8+D8+E8+F8)</f>
        <v>165</v>
      </c>
      <c r="H8" s="536">
        <f>G8/G31</f>
        <v>0.005174522532693574</v>
      </c>
    </row>
    <row r="9" spans="1:8" ht="15" customHeight="1">
      <c r="A9" s="512">
        <v>2</v>
      </c>
      <c r="B9" s="521" t="s">
        <v>5</v>
      </c>
      <c r="C9" s="514">
        <v>0</v>
      </c>
      <c r="D9" s="329">
        <v>0</v>
      </c>
      <c r="E9" s="330">
        <v>0</v>
      </c>
      <c r="F9" s="330">
        <v>63</v>
      </c>
      <c r="G9" s="376">
        <f>SUM(C9+D9+E9+F9)</f>
        <v>63</v>
      </c>
      <c r="H9" s="537">
        <f>G9/G31</f>
        <v>0.0019757267852102737</v>
      </c>
    </row>
    <row r="10" spans="1:8" ht="15" customHeight="1">
      <c r="A10" s="512">
        <v>3</v>
      </c>
      <c r="B10" s="521" t="s">
        <v>6</v>
      </c>
      <c r="C10" s="514">
        <v>58</v>
      </c>
      <c r="D10" s="329">
        <v>0</v>
      </c>
      <c r="E10" s="330">
        <v>0</v>
      </c>
      <c r="F10" s="330">
        <v>3096</v>
      </c>
      <c r="G10" s="376">
        <f aca="true" t="shared" si="0" ref="G10:G29">SUM(C10+D10+E10+F10)</f>
        <v>3154</v>
      </c>
      <c r="H10" s="537">
        <f>G10/G31</f>
        <v>0.09891178223100323</v>
      </c>
    </row>
    <row r="11" spans="1:8" ht="15" customHeight="1">
      <c r="A11" s="512">
        <v>4</v>
      </c>
      <c r="B11" s="521" t="s">
        <v>7</v>
      </c>
      <c r="C11" s="515">
        <v>0</v>
      </c>
      <c r="D11" s="331">
        <v>0</v>
      </c>
      <c r="E11" s="332">
        <v>0</v>
      </c>
      <c r="F11" s="333">
        <v>22</v>
      </c>
      <c r="G11" s="377">
        <f t="shared" si="0"/>
        <v>22</v>
      </c>
      <c r="H11" s="537">
        <f>G11/G31</f>
        <v>0.0006899363376924766</v>
      </c>
    </row>
    <row r="12" spans="1:8" ht="26.25" customHeight="1">
      <c r="A12" s="512">
        <v>5</v>
      </c>
      <c r="B12" s="521" t="s">
        <v>8</v>
      </c>
      <c r="C12" s="514">
        <v>0</v>
      </c>
      <c r="D12" s="329">
        <v>0</v>
      </c>
      <c r="E12" s="330">
        <v>0</v>
      </c>
      <c r="F12" s="330">
        <v>21</v>
      </c>
      <c r="G12" s="377">
        <f t="shared" si="0"/>
        <v>21</v>
      </c>
      <c r="H12" s="537">
        <f>G12/G31</f>
        <v>0.0006585755950700913</v>
      </c>
    </row>
    <row r="13" spans="1:8" ht="15" customHeight="1">
      <c r="A13" s="512">
        <v>6</v>
      </c>
      <c r="B13" s="521" t="s">
        <v>9</v>
      </c>
      <c r="C13" s="515">
        <v>0</v>
      </c>
      <c r="D13" s="329"/>
      <c r="E13" s="333">
        <v>8</v>
      </c>
      <c r="F13" s="333">
        <v>5208</v>
      </c>
      <c r="G13" s="377">
        <f t="shared" si="0"/>
        <v>5216</v>
      </c>
      <c r="H13" s="537">
        <f>G13/G31</f>
        <v>0.16357763351836171</v>
      </c>
    </row>
    <row r="14" spans="1:8" ht="24.75" customHeight="1">
      <c r="A14" s="512">
        <v>7</v>
      </c>
      <c r="B14" s="521" t="s">
        <v>10</v>
      </c>
      <c r="C14" s="515">
        <v>0</v>
      </c>
      <c r="D14" s="329"/>
      <c r="E14" s="333">
        <v>19</v>
      </c>
      <c r="F14" s="333">
        <v>6391</v>
      </c>
      <c r="G14" s="377">
        <f t="shared" si="0"/>
        <v>6410</v>
      </c>
      <c r="H14" s="537">
        <f>G14/G31</f>
        <v>0.20102236020948977</v>
      </c>
    </row>
    <row r="15" spans="1:8" ht="15" customHeight="1">
      <c r="A15" s="512">
        <v>8</v>
      </c>
      <c r="B15" s="521" t="s">
        <v>11</v>
      </c>
      <c r="C15" s="515">
        <v>0</v>
      </c>
      <c r="D15" s="329"/>
      <c r="E15" s="334">
        <v>3</v>
      </c>
      <c r="F15" s="333">
        <v>1006</v>
      </c>
      <c r="G15" s="377">
        <f t="shared" si="0"/>
        <v>1009</v>
      </c>
      <c r="H15" s="537">
        <f>G15/G31</f>
        <v>0.03164298930598677</v>
      </c>
    </row>
    <row r="16" spans="1:8" ht="25.5" customHeight="1">
      <c r="A16" s="512">
        <v>9</v>
      </c>
      <c r="B16" s="521" t="s">
        <v>12</v>
      </c>
      <c r="C16" s="514">
        <v>0</v>
      </c>
      <c r="D16" s="329"/>
      <c r="E16" s="330">
        <f>4+2806+16</f>
        <v>2826</v>
      </c>
      <c r="F16" s="330">
        <v>2754</v>
      </c>
      <c r="G16" s="377">
        <f t="shared" si="0"/>
        <v>5580</v>
      </c>
      <c r="H16" s="537">
        <f>G16/G31</f>
        <v>0.17499294383290998</v>
      </c>
    </row>
    <row r="17" spans="1:8" ht="15" customHeight="1">
      <c r="A17" s="512">
        <v>10</v>
      </c>
      <c r="B17" s="521" t="s">
        <v>13</v>
      </c>
      <c r="C17" s="514">
        <v>0</v>
      </c>
      <c r="D17" s="329"/>
      <c r="E17" s="330">
        <v>1</v>
      </c>
      <c r="F17" s="330">
        <v>407</v>
      </c>
      <c r="G17" s="376">
        <f t="shared" si="0"/>
        <v>408</v>
      </c>
      <c r="H17" s="537">
        <f>G17/G31</f>
        <v>0.012795182989933202</v>
      </c>
    </row>
    <row r="18" spans="1:8" ht="15" customHeight="1">
      <c r="A18" s="512">
        <v>11</v>
      </c>
      <c r="B18" s="521" t="s">
        <v>14</v>
      </c>
      <c r="C18" s="514">
        <v>0</v>
      </c>
      <c r="D18" s="329"/>
      <c r="E18" s="330">
        <v>0</v>
      </c>
      <c r="F18" s="333">
        <v>704</v>
      </c>
      <c r="G18" s="377">
        <f t="shared" si="0"/>
        <v>704</v>
      </c>
      <c r="H18" s="537">
        <f>G18/G31</f>
        <v>0.02207796280615925</v>
      </c>
    </row>
    <row r="19" spans="1:8" ht="15" customHeight="1">
      <c r="A19" s="512">
        <v>12</v>
      </c>
      <c r="B19" s="521" t="s">
        <v>15</v>
      </c>
      <c r="C19" s="514">
        <v>0</v>
      </c>
      <c r="D19" s="329"/>
      <c r="E19" s="330">
        <v>8</v>
      </c>
      <c r="F19" s="330">
        <v>171</v>
      </c>
      <c r="G19" s="376">
        <f t="shared" si="0"/>
        <v>179</v>
      </c>
      <c r="H19" s="537">
        <f>G19/G31</f>
        <v>0.005613572929406969</v>
      </c>
    </row>
    <row r="20" spans="1:8" ht="15" customHeight="1">
      <c r="A20" s="512">
        <v>13</v>
      </c>
      <c r="B20" s="521" t="s">
        <v>16</v>
      </c>
      <c r="C20" s="514">
        <v>0</v>
      </c>
      <c r="D20" s="329"/>
      <c r="E20" s="330">
        <v>0</v>
      </c>
      <c r="F20" s="330">
        <v>1063</v>
      </c>
      <c r="G20" s="376">
        <f t="shared" si="0"/>
        <v>1063</v>
      </c>
      <c r="H20" s="537">
        <f>G20/G31</f>
        <v>0.03333646940759557</v>
      </c>
    </row>
    <row r="21" spans="1:8" ht="15" customHeight="1">
      <c r="A21" s="512">
        <v>14</v>
      </c>
      <c r="B21" s="521" t="s">
        <v>17</v>
      </c>
      <c r="C21" s="514">
        <v>0</v>
      </c>
      <c r="D21" s="329"/>
      <c r="E21" s="330">
        <v>5</v>
      </c>
      <c r="F21" s="330">
        <v>779</v>
      </c>
      <c r="G21" s="376">
        <f t="shared" si="0"/>
        <v>784</v>
      </c>
      <c r="H21" s="537">
        <f>G21/G31</f>
        <v>0.024586822215950075</v>
      </c>
    </row>
    <row r="22" spans="1:8" ht="15" customHeight="1">
      <c r="A22" s="513">
        <v>15</v>
      </c>
      <c r="B22" s="521" t="s">
        <v>18</v>
      </c>
      <c r="C22" s="514">
        <v>0</v>
      </c>
      <c r="D22" s="329"/>
      <c r="E22" s="330">
        <v>0</v>
      </c>
      <c r="F22" s="330">
        <v>2767</v>
      </c>
      <c r="G22" s="376">
        <f t="shared" si="0"/>
        <v>2767</v>
      </c>
      <c r="H22" s="537">
        <f>G22/G31</f>
        <v>0.08677517483614013</v>
      </c>
    </row>
    <row r="23" spans="1:8" ht="15" customHeight="1">
      <c r="A23" s="512">
        <v>16</v>
      </c>
      <c r="B23" s="521" t="s">
        <v>19</v>
      </c>
      <c r="C23" s="514">
        <v>0</v>
      </c>
      <c r="D23" s="329"/>
      <c r="E23" s="330">
        <v>0</v>
      </c>
      <c r="F23" s="330">
        <v>418</v>
      </c>
      <c r="G23" s="377">
        <f t="shared" si="0"/>
        <v>418</v>
      </c>
      <c r="H23" s="537">
        <f>G23/G31</f>
        <v>0.013108790416157055</v>
      </c>
    </row>
    <row r="24" spans="1:8" ht="26.25" customHeight="1">
      <c r="A24" s="513">
        <v>17</v>
      </c>
      <c r="B24" s="521" t="s">
        <v>20</v>
      </c>
      <c r="C24" s="514">
        <v>0</v>
      </c>
      <c r="D24" s="329"/>
      <c r="E24" s="330">
        <v>0</v>
      </c>
      <c r="F24" s="330">
        <v>340</v>
      </c>
      <c r="G24" s="376">
        <f t="shared" si="0"/>
        <v>340</v>
      </c>
      <c r="H24" s="537">
        <f>G24/G31</f>
        <v>0.010662652491611002</v>
      </c>
    </row>
    <row r="25" spans="1:8" ht="15" customHeight="1">
      <c r="A25" s="512">
        <v>18</v>
      </c>
      <c r="B25" s="522" t="s">
        <v>21</v>
      </c>
      <c r="C25" s="514">
        <v>0</v>
      </c>
      <c r="D25" s="329"/>
      <c r="E25" s="330">
        <v>7</v>
      </c>
      <c r="F25" s="330">
        <v>394</v>
      </c>
      <c r="G25" s="376">
        <f t="shared" si="0"/>
        <v>401</v>
      </c>
      <c r="H25" s="537">
        <f>G25/G31</f>
        <v>0.012575657791576504</v>
      </c>
    </row>
    <row r="26" spans="1:8" ht="15" customHeight="1">
      <c r="A26" s="512">
        <v>19</v>
      </c>
      <c r="B26" s="522" t="s">
        <v>22</v>
      </c>
      <c r="C26" s="514">
        <v>0</v>
      </c>
      <c r="D26" s="329"/>
      <c r="E26" s="330">
        <v>11</v>
      </c>
      <c r="F26" s="330">
        <v>476</v>
      </c>
      <c r="G26" s="376">
        <f t="shared" si="0"/>
        <v>487</v>
      </c>
      <c r="H26" s="537">
        <f>G26/G31</f>
        <v>0.01527268165710164</v>
      </c>
    </row>
    <row r="27" spans="1:8" ht="37.5" customHeight="1">
      <c r="A27" s="513">
        <v>20</v>
      </c>
      <c r="B27" s="522" t="s">
        <v>23</v>
      </c>
      <c r="C27" s="514">
        <v>0</v>
      </c>
      <c r="D27" s="329"/>
      <c r="E27" s="330">
        <v>0</v>
      </c>
      <c r="F27" s="330">
        <v>50</v>
      </c>
      <c r="G27" s="376">
        <f t="shared" si="0"/>
        <v>50</v>
      </c>
      <c r="H27" s="537">
        <f>G27/G31</f>
        <v>0.001568037131119265</v>
      </c>
    </row>
    <row r="28" spans="1:8" ht="15" customHeight="1">
      <c r="A28" s="512">
        <v>21</v>
      </c>
      <c r="B28" s="522" t="s">
        <v>24</v>
      </c>
      <c r="C28" s="514">
        <v>0</v>
      </c>
      <c r="D28" s="329">
        <v>0</v>
      </c>
      <c r="E28" s="330">
        <v>0</v>
      </c>
      <c r="F28" s="330">
        <v>19</v>
      </c>
      <c r="G28" s="376">
        <f t="shared" si="0"/>
        <v>19</v>
      </c>
      <c r="H28" s="537">
        <f>G28/G31</f>
        <v>0.0005958541098253206</v>
      </c>
    </row>
    <row r="29" spans="1:8" ht="15" customHeight="1">
      <c r="A29" s="512">
        <v>22</v>
      </c>
      <c r="B29" s="523" t="s">
        <v>25</v>
      </c>
      <c r="C29" s="514">
        <v>0</v>
      </c>
      <c r="D29" s="329">
        <v>0</v>
      </c>
      <c r="E29" s="330">
        <v>0</v>
      </c>
      <c r="F29" s="330">
        <v>2627</v>
      </c>
      <c r="G29" s="376">
        <f t="shared" si="0"/>
        <v>2627</v>
      </c>
      <c r="H29" s="537">
        <f>G29/G31</f>
        <v>0.08238467086900618</v>
      </c>
    </row>
    <row r="30" spans="1:8" ht="15" customHeight="1" thickBot="1">
      <c r="A30" s="512">
        <v>23</v>
      </c>
      <c r="B30" s="524" t="s">
        <v>85</v>
      </c>
      <c r="C30" s="516">
        <v>0</v>
      </c>
      <c r="D30" s="335">
        <v>0</v>
      </c>
      <c r="E30" s="336">
        <v>0</v>
      </c>
      <c r="F30" s="330">
        <v>0</v>
      </c>
      <c r="G30" s="378">
        <v>0</v>
      </c>
      <c r="H30" s="538">
        <f>G30/G31</f>
        <v>0</v>
      </c>
    </row>
    <row r="31" spans="1:8" ht="15" customHeight="1" thickBot="1">
      <c r="A31" s="347"/>
      <c r="B31" s="525" t="s">
        <v>26</v>
      </c>
      <c r="C31" s="517">
        <f aca="true" t="shared" si="1" ref="C31:H31">SUM(C8:C30)</f>
        <v>58</v>
      </c>
      <c r="D31" s="337">
        <f t="shared" si="1"/>
        <v>0</v>
      </c>
      <c r="E31" s="337">
        <f t="shared" si="1"/>
        <v>2888</v>
      </c>
      <c r="F31" s="337">
        <f t="shared" si="1"/>
        <v>28941</v>
      </c>
      <c r="G31" s="379">
        <f t="shared" si="1"/>
        <v>31887</v>
      </c>
      <c r="H31" s="539">
        <f t="shared" si="1"/>
        <v>1.0000000000000002</v>
      </c>
    </row>
    <row r="32" spans="2:7" ht="12.75">
      <c r="B32" s="339"/>
      <c r="F32" s="340"/>
      <c r="G32" s="341"/>
    </row>
    <row r="33" spans="1:7" ht="12.75">
      <c r="A33" s="342" t="s">
        <v>99</v>
      </c>
      <c r="B33" s="342"/>
      <c r="C33" s="342"/>
      <c r="D33" s="342"/>
      <c r="E33" s="343" t="s">
        <v>34</v>
      </c>
      <c r="F33" s="342"/>
      <c r="G33" s="340"/>
    </row>
    <row r="34" spans="1:7" ht="12.75">
      <c r="A34" s="344"/>
      <c r="B34" s="345">
        <v>41438</v>
      </c>
      <c r="C34" s="344"/>
      <c r="D34" s="342"/>
      <c r="E34" s="343" t="s">
        <v>35</v>
      </c>
      <c r="F34" s="342"/>
      <c r="G34" s="340"/>
    </row>
  </sheetData>
  <sheetProtection/>
  <mergeCells count="6">
    <mergeCell ref="C6:D6"/>
    <mergeCell ref="E6:F6"/>
    <mergeCell ref="G6:G7"/>
    <mergeCell ref="A3:G4"/>
    <mergeCell ref="H6:H7"/>
    <mergeCell ref="C5:H5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5.421875" style="327" customWidth="1"/>
    <col min="2" max="2" width="51.0039062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1" ht="12.75">
      <c r="A1" s="346" t="s">
        <v>106</v>
      </c>
    </row>
    <row r="2" ht="12.75">
      <c r="A2" s="328"/>
    </row>
    <row r="3" spans="1:7" ht="31.5" customHeight="1">
      <c r="A3" s="626" t="s">
        <v>107</v>
      </c>
      <c r="B3" s="626"/>
      <c r="C3" s="626"/>
      <c r="D3" s="626"/>
      <c r="E3" s="626"/>
      <c r="F3" s="626"/>
      <c r="G3" s="626"/>
    </row>
    <row r="4" spans="1:7" ht="13.5" thickBot="1">
      <c r="A4" s="672"/>
      <c r="B4" s="648"/>
      <c r="C4" s="648"/>
      <c r="D4" s="648"/>
      <c r="E4" s="648"/>
      <c r="F4" s="648"/>
      <c r="G4" s="648"/>
    </row>
    <row r="5" spans="1:8" ht="15" customHeight="1">
      <c r="A5" s="540"/>
      <c r="B5" s="518"/>
      <c r="C5" s="673" t="s">
        <v>27</v>
      </c>
      <c r="D5" s="673"/>
      <c r="E5" s="673"/>
      <c r="F5" s="673"/>
      <c r="G5" s="673"/>
      <c r="H5" s="674"/>
    </row>
    <row r="6" spans="1:8" ht="15" customHeight="1">
      <c r="A6" s="541" t="s">
        <v>3</v>
      </c>
      <c r="B6" s="519" t="s">
        <v>31</v>
      </c>
      <c r="C6" s="658" t="s">
        <v>28</v>
      </c>
      <c r="D6" s="668"/>
      <c r="E6" s="669" t="s">
        <v>29</v>
      </c>
      <c r="F6" s="669"/>
      <c r="G6" s="670" t="s">
        <v>26</v>
      </c>
      <c r="H6" s="663" t="s">
        <v>75</v>
      </c>
    </row>
    <row r="7" spans="1:8" ht="15" customHeight="1" thickBot="1">
      <c r="A7" s="520"/>
      <c r="B7" s="532"/>
      <c r="C7" s="545" t="s">
        <v>33</v>
      </c>
      <c r="D7" s="535" t="s">
        <v>32</v>
      </c>
      <c r="E7" s="535" t="s">
        <v>32</v>
      </c>
      <c r="F7" s="535" t="s">
        <v>30</v>
      </c>
      <c r="G7" s="671"/>
      <c r="H7" s="664"/>
    </row>
    <row r="8" spans="1:8" ht="15" customHeight="1">
      <c r="A8" s="542">
        <v>1</v>
      </c>
      <c r="B8" s="527" t="s">
        <v>4</v>
      </c>
      <c r="C8" s="528">
        <v>0</v>
      </c>
      <c r="D8" s="529">
        <v>0</v>
      </c>
      <c r="E8" s="530">
        <v>0</v>
      </c>
      <c r="F8" s="530">
        <v>157</v>
      </c>
      <c r="G8" s="529">
        <f>SUM(C8+D8+E8+F8)</f>
        <v>157</v>
      </c>
      <c r="H8" s="536">
        <f>G8/G31</f>
        <v>0.005610950287695222</v>
      </c>
    </row>
    <row r="9" spans="1:8" ht="15" customHeight="1">
      <c r="A9" s="542">
        <v>2</v>
      </c>
      <c r="B9" s="521" t="s">
        <v>5</v>
      </c>
      <c r="C9" s="514">
        <v>0</v>
      </c>
      <c r="D9" s="329">
        <v>0</v>
      </c>
      <c r="E9" s="330">
        <v>0</v>
      </c>
      <c r="F9" s="330">
        <v>74</v>
      </c>
      <c r="G9" s="329">
        <f>SUM(C9+D9+E9+F9)</f>
        <v>74</v>
      </c>
      <c r="H9" s="537">
        <f>G9/G31</f>
        <v>0.0026446517279582575</v>
      </c>
    </row>
    <row r="10" spans="1:8" ht="15" customHeight="1">
      <c r="A10" s="542">
        <v>3</v>
      </c>
      <c r="B10" s="521" t="s">
        <v>6</v>
      </c>
      <c r="C10" s="514">
        <v>27</v>
      </c>
      <c r="D10" s="329">
        <v>0</v>
      </c>
      <c r="E10" s="330">
        <v>0</v>
      </c>
      <c r="F10" s="330">
        <v>3092</v>
      </c>
      <c r="G10" s="329">
        <f aca="true" t="shared" si="0" ref="G10:G30">SUM(C10+D10+E10+F10)</f>
        <v>3119</v>
      </c>
      <c r="H10" s="537">
        <f>G10/G31</f>
        <v>0.11146849647975413</v>
      </c>
    </row>
    <row r="11" spans="1:8" ht="15" customHeight="1">
      <c r="A11" s="542">
        <v>4</v>
      </c>
      <c r="B11" s="521" t="s">
        <v>7</v>
      </c>
      <c r="C11" s="515">
        <v>0</v>
      </c>
      <c r="D11" s="331">
        <v>0</v>
      </c>
      <c r="E11" s="332">
        <v>0</v>
      </c>
      <c r="F11" s="333">
        <v>18</v>
      </c>
      <c r="G11" s="334">
        <f t="shared" si="0"/>
        <v>18</v>
      </c>
      <c r="H11" s="537">
        <f>G11/G31</f>
        <v>0.000643293663557414</v>
      </c>
    </row>
    <row r="12" spans="1:8" ht="24.75" customHeight="1">
      <c r="A12" s="542">
        <v>5</v>
      </c>
      <c r="B12" s="521" t="s">
        <v>8</v>
      </c>
      <c r="C12" s="514">
        <v>0</v>
      </c>
      <c r="D12" s="329">
        <v>0</v>
      </c>
      <c r="E12" s="330">
        <v>0</v>
      </c>
      <c r="F12" s="330">
        <v>22</v>
      </c>
      <c r="G12" s="334">
        <f t="shared" si="0"/>
        <v>22</v>
      </c>
      <c r="H12" s="537">
        <f>G12/G31</f>
        <v>0.000786247811014617</v>
      </c>
    </row>
    <row r="13" spans="1:8" ht="15" customHeight="1">
      <c r="A13" s="542">
        <v>6</v>
      </c>
      <c r="B13" s="521" t="s">
        <v>9</v>
      </c>
      <c r="C13" s="515">
        <v>0</v>
      </c>
      <c r="D13" s="329"/>
      <c r="E13" s="333">
        <v>6</v>
      </c>
      <c r="F13" s="333">
        <v>5028</v>
      </c>
      <c r="G13" s="334">
        <f t="shared" si="0"/>
        <v>5034</v>
      </c>
      <c r="H13" s="537">
        <f>G13/G31</f>
        <v>0.17990779457489012</v>
      </c>
    </row>
    <row r="14" spans="1:8" ht="26.25" customHeight="1">
      <c r="A14" s="542">
        <v>7</v>
      </c>
      <c r="B14" s="521" t="s">
        <v>10</v>
      </c>
      <c r="C14" s="515">
        <v>0</v>
      </c>
      <c r="D14" s="329"/>
      <c r="E14" s="333">
        <v>12</v>
      </c>
      <c r="F14" s="333">
        <v>6133</v>
      </c>
      <c r="G14" s="334">
        <f t="shared" si="0"/>
        <v>6145</v>
      </c>
      <c r="H14" s="537">
        <f>G14/G31</f>
        <v>0.21961330903112827</v>
      </c>
    </row>
    <row r="15" spans="1:8" ht="15" customHeight="1">
      <c r="A15" s="542">
        <v>8</v>
      </c>
      <c r="B15" s="521" t="s">
        <v>11</v>
      </c>
      <c r="C15" s="515">
        <v>0</v>
      </c>
      <c r="D15" s="329"/>
      <c r="E15" s="334">
        <v>3</v>
      </c>
      <c r="F15" s="333">
        <v>747</v>
      </c>
      <c r="G15" s="334">
        <f t="shared" si="0"/>
        <v>750</v>
      </c>
      <c r="H15" s="537">
        <f>G15/G31</f>
        <v>0.026803902648225582</v>
      </c>
    </row>
    <row r="16" spans="1:8" ht="15" customHeight="1">
      <c r="A16" s="542">
        <v>9</v>
      </c>
      <c r="B16" s="521" t="s">
        <v>12</v>
      </c>
      <c r="C16" s="514">
        <v>0</v>
      </c>
      <c r="D16" s="329"/>
      <c r="E16" s="330">
        <v>1070</v>
      </c>
      <c r="F16" s="330">
        <v>1820</v>
      </c>
      <c r="G16" s="334">
        <f t="shared" si="0"/>
        <v>2890</v>
      </c>
      <c r="H16" s="537">
        <f>G16/G31</f>
        <v>0.10328437153782924</v>
      </c>
    </row>
    <row r="17" spans="1:8" ht="15" customHeight="1">
      <c r="A17" s="542">
        <v>10</v>
      </c>
      <c r="B17" s="521" t="s">
        <v>13</v>
      </c>
      <c r="C17" s="514">
        <v>0</v>
      </c>
      <c r="D17" s="329"/>
      <c r="E17" s="330">
        <v>0</v>
      </c>
      <c r="F17" s="330">
        <v>431</v>
      </c>
      <c r="G17" s="329">
        <f t="shared" si="0"/>
        <v>431</v>
      </c>
      <c r="H17" s="537">
        <f>G17/G31</f>
        <v>0.015403309388513635</v>
      </c>
    </row>
    <row r="18" spans="1:8" ht="15" customHeight="1">
      <c r="A18" s="542">
        <v>11</v>
      </c>
      <c r="B18" s="521" t="s">
        <v>14</v>
      </c>
      <c r="C18" s="514">
        <v>0</v>
      </c>
      <c r="D18" s="329"/>
      <c r="E18" s="330">
        <v>0</v>
      </c>
      <c r="F18" s="333">
        <v>699</v>
      </c>
      <c r="G18" s="334">
        <f t="shared" si="0"/>
        <v>699</v>
      </c>
      <c r="H18" s="537">
        <f>G18/G31</f>
        <v>0.02498123726814624</v>
      </c>
    </row>
    <row r="19" spans="1:8" ht="15" customHeight="1">
      <c r="A19" s="542">
        <v>12</v>
      </c>
      <c r="B19" s="521" t="s">
        <v>15</v>
      </c>
      <c r="C19" s="514">
        <v>0</v>
      </c>
      <c r="D19" s="329"/>
      <c r="E19" s="330">
        <v>3</v>
      </c>
      <c r="F19" s="330">
        <v>174</v>
      </c>
      <c r="G19" s="329">
        <f t="shared" si="0"/>
        <v>177</v>
      </c>
      <c r="H19" s="537">
        <f>G19/G31</f>
        <v>0.006325721024981237</v>
      </c>
    </row>
    <row r="20" spans="1:8" ht="15" customHeight="1">
      <c r="A20" s="542">
        <v>13</v>
      </c>
      <c r="B20" s="521" t="s">
        <v>16</v>
      </c>
      <c r="C20" s="514">
        <v>0</v>
      </c>
      <c r="D20" s="329"/>
      <c r="E20" s="330">
        <v>0</v>
      </c>
      <c r="F20" s="330">
        <v>1139</v>
      </c>
      <c r="G20" s="329">
        <f t="shared" si="0"/>
        <v>1139</v>
      </c>
      <c r="H20" s="537">
        <f>G20/G31</f>
        <v>0.04070619348843858</v>
      </c>
    </row>
    <row r="21" spans="1:8" ht="15" customHeight="1">
      <c r="A21" s="542">
        <v>14</v>
      </c>
      <c r="B21" s="521" t="s">
        <v>17</v>
      </c>
      <c r="C21" s="514">
        <v>0</v>
      </c>
      <c r="D21" s="329"/>
      <c r="E21" s="330">
        <v>1</v>
      </c>
      <c r="F21" s="330">
        <v>593</v>
      </c>
      <c r="G21" s="329">
        <f t="shared" si="0"/>
        <v>594</v>
      </c>
      <c r="H21" s="537">
        <f>G21/G31</f>
        <v>0.02122869089739466</v>
      </c>
    </row>
    <row r="22" spans="1:8" ht="15" customHeight="1">
      <c r="A22" s="543">
        <v>15</v>
      </c>
      <c r="B22" s="521" t="s">
        <v>18</v>
      </c>
      <c r="C22" s="514">
        <v>0</v>
      </c>
      <c r="D22" s="329"/>
      <c r="E22" s="330">
        <v>0</v>
      </c>
      <c r="F22" s="330">
        <v>2652</v>
      </c>
      <c r="G22" s="329">
        <f t="shared" si="0"/>
        <v>2652</v>
      </c>
      <c r="H22" s="537">
        <f>G22/G31</f>
        <v>0.09477859976412566</v>
      </c>
    </row>
    <row r="23" spans="1:8" ht="15" customHeight="1">
      <c r="A23" s="542">
        <v>16</v>
      </c>
      <c r="B23" s="521" t="s">
        <v>19</v>
      </c>
      <c r="C23" s="514">
        <v>0</v>
      </c>
      <c r="D23" s="329"/>
      <c r="E23" s="330">
        <v>0</v>
      </c>
      <c r="F23" s="330">
        <v>506</v>
      </c>
      <c r="G23" s="334">
        <f t="shared" si="0"/>
        <v>506</v>
      </c>
      <c r="H23" s="537">
        <f>G23/G31</f>
        <v>0.018083699653336192</v>
      </c>
    </row>
    <row r="24" spans="1:8" ht="24.75" customHeight="1">
      <c r="A24" s="543">
        <v>17</v>
      </c>
      <c r="B24" s="521" t="s">
        <v>20</v>
      </c>
      <c r="C24" s="514">
        <v>0</v>
      </c>
      <c r="D24" s="329"/>
      <c r="E24" s="330">
        <v>0</v>
      </c>
      <c r="F24" s="330">
        <v>324</v>
      </c>
      <c r="G24" s="329">
        <f t="shared" si="0"/>
        <v>324</v>
      </c>
      <c r="H24" s="537">
        <f>G24/G31</f>
        <v>0.011579285944033452</v>
      </c>
    </row>
    <row r="25" spans="1:8" ht="15" customHeight="1">
      <c r="A25" s="542">
        <v>18</v>
      </c>
      <c r="B25" s="522" t="s">
        <v>21</v>
      </c>
      <c r="C25" s="514">
        <v>0</v>
      </c>
      <c r="D25" s="329"/>
      <c r="E25" s="330">
        <v>4</v>
      </c>
      <c r="F25" s="330">
        <v>313</v>
      </c>
      <c r="G25" s="329">
        <f t="shared" si="0"/>
        <v>317</v>
      </c>
      <c r="H25" s="537">
        <f>G25/G31</f>
        <v>0.011329116185983345</v>
      </c>
    </row>
    <row r="26" spans="1:8" ht="15" customHeight="1">
      <c r="A26" s="542">
        <v>19</v>
      </c>
      <c r="B26" s="522" t="s">
        <v>22</v>
      </c>
      <c r="C26" s="514">
        <v>0</v>
      </c>
      <c r="D26" s="329"/>
      <c r="E26" s="330">
        <v>5</v>
      </c>
      <c r="F26" s="330">
        <v>398</v>
      </c>
      <c r="G26" s="329">
        <f t="shared" si="0"/>
        <v>403</v>
      </c>
      <c r="H26" s="537">
        <f>G26/G31</f>
        <v>0.014402630356313213</v>
      </c>
    </row>
    <row r="27" spans="1:8" ht="38.25" customHeight="1">
      <c r="A27" s="543">
        <v>20</v>
      </c>
      <c r="B27" s="522" t="s">
        <v>23</v>
      </c>
      <c r="C27" s="514">
        <v>0</v>
      </c>
      <c r="D27" s="329"/>
      <c r="E27" s="330">
        <v>0</v>
      </c>
      <c r="F27" s="330">
        <v>45</v>
      </c>
      <c r="G27" s="329">
        <f t="shared" si="0"/>
        <v>45</v>
      </c>
      <c r="H27" s="537">
        <f>G27/G31</f>
        <v>0.0016082341588935349</v>
      </c>
    </row>
    <row r="28" spans="1:8" ht="15.75" customHeight="1">
      <c r="A28" s="542">
        <v>21</v>
      </c>
      <c r="B28" s="522" t="s">
        <v>24</v>
      </c>
      <c r="C28" s="514">
        <v>0</v>
      </c>
      <c r="D28" s="329">
        <v>0</v>
      </c>
      <c r="E28" s="330">
        <v>0</v>
      </c>
      <c r="F28" s="330">
        <v>18</v>
      </c>
      <c r="G28" s="329">
        <f t="shared" si="0"/>
        <v>18</v>
      </c>
      <c r="H28" s="537">
        <f>G28/G31</f>
        <v>0.000643293663557414</v>
      </c>
    </row>
    <row r="29" spans="1:8" ht="12.75">
      <c r="A29" s="542">
        <v>22</v>
      </c>
      <c r="B29" s="523" t="s">
        <v>25</v>
      </c>
      <c r="C29" s="514">
        <v>0</v>
      </c>
      <c r="D29" s="329">
        <v>0</v>
      </c>
      <c r="E29" s="330">
        <v>0</v>
      </c>
      <c r="F29" s="330">
        <v>2449</v>
      </c>
      <c r="G29" s="329">
        <f t="shared" si="0"/>
        <v>2449</v>
      </c>
      <c r="H29" s="537">
        <f>G29/G31</f>
        <v>0.0875236767806726</v>
      </c>
    </row>
    <row r="30" spans="1:8" ht="13.5" thickBot="1">
      <c r="A30" s="542">
        <v>23</v>
      </c>
      <c r="B30" s="524" t="s">
        <v>85</v>
      </c>
      <c r="C30" s="516">
        <v>0</v>
      </c>
      <c r="D30" s="335">
        <v>0</v>
      </c>
      <c r="E30" s="336">
        <v>0</v>
      </c>
      <c r="F30" s="336">
        <v>18</v>
      </c>
      <c r="G30" s="335">
        <f t="shared" si="0"/>
        <v>18</v>
      </c>
      <c r="H30" s="538">
        <f>G30/G31</f>
        <v>0.000643293663557414</v>
      </c>
    </row>
    <row r="31" spans="1:8" ht="13.5" thickBot="1">
      <c r="A31" s="544"/>
      <c r="B31" s="525" t="s">
        <v>26</v>
      </c>
      <c r="C31" s="517">
        <f aca="true" t="shared" si="1" ref="C31:H31">SUM(C8:C30)</f>
        <v>27</v>
      </c>
      <c r="D31" s="337">
        <f t="shared" si="1"/>
        <v>0</v>
      </c>
      <c r="E31" s="337">
        <f t="shared" si="1"/>
        <v>1104</v>
      </c>
      <c r="F31" s="337">
        <f t="shared" si="1"/>
        <v>26850</v>
      </c>
      <c r="G31" s="337">
        <f t="shared" si="1"/>
        <v>27981</v>
      </c>
      <c r="H31" s="539">
        <f t="shared" si="1"/>
        <v>1</v>
      </c>
    </row>
    <row r="32" spans="2:7" ht="12.75">
      <c r="B32" s="339"/>
      <c r="F32" s="340"/>
      <c r="G32" s="341"/>
    </row>
    <row r="33" spans="1:7" ht="12.75">
      <c r="A33" s="342" t="s">
        <v>99</v>
      </c>
      <c r="B33" s="342"/>
      <c r="C33" s="342"/>
      <c r="D33" s="342"/>
      <c r="E33" s="343" t="s">
        <v>34</v>
      </c>
      <c r="F33" s="342"/>
      <c r="G33" s="340"/>
    </row>
    <row r="34" spans="1:7" ht="12.75">
      <c r="A34" s="344"/>
      <c r="B34" s="345">
        <v>41468</v>
      </c>
      <c r="C34" s="344"/>
      <c r="D34" s="342"/>
      <c r="E34" s="343" t="s">
        <v>35</v>
      </c>
      <c r="F34" s="342"/>
      <c r="G34" s="340"/>
    </row>
  </sheetData>
  <sheetProtection/>
  <mergeCells count="6">
    <mergeCell ref="C6:D6"/>
    <mergeCell ref="E6:F6"/>
    <mergeCell ref="G6:G7"/>
    <mergeCell ref="A3:G4"/>
    <mergeCell ref="C5:H5"/>
    <mergeCell ref="H6:H7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34" sqref="A34:B34"/>
    </sheetView>
  </sheetViews>
  <sheetFormatPr defaultColWidth="9.140625" defaultRowHeight="12.75"/>
  <cols>
    <col min="1" max="1" width="5.421875" style="327" customWidth="1"/>
    <col min="2" max="2" width="52.57421875" style="327" customWidth="1"/>
    <col min="3" max="3" width="13.421875" style="327" customWidth="1"/>
    <col min="4" max="4" width="12.421875" style="327" customWidth="1"/>
    <col min="5" max="7" width="12.7109375" style="327" customWidth="1"/>
    <col min="8" max="8" width="13.57421875" style="327" bestFit="1" customWidth="1"/>
    <col min="9" max="16384" width="9.140625" style="327" customWidth="1"/>
  </cols>
  <sheetData>
    <row r="1" spans="1:2" ht="12.75">
      <c r="A1" s="326" t="s">
        <v>109</v>
      </c>
      <c r="B1" s="346"/>
    </row>
    <row r="2" spans="1:7" ht="28.5" customHeight="1">
      <c r="A2" s="626" t="s">
        <v>110</v>
      </c>
      <c r="B2" s="626"/>
      <c r="C2" s="626"/>
      <c r="D2" s="626"/>
      <c r="E2" s="626"/>
      <c r="F2" s="626"/>
      <c r="G2" s="626"/>
    </row>
    <row r="3" spans="1:7" ht="13.5" customHeight="1" thickBot="1">
      <c r="A3" s="648"/>
      <c r="B3" s="648"/>
      <c r="C3" s="648"/>
      <c r="D3" s="648"/>
      <c r="E3" s="648"/>
      <c r="F3" s="648"/>
      <c r="G3" s="648"/>
    </row>
    <row r="4" spans="1:8" ht="16.5" customHeight="1">
      <c r="A4" s="540"/>
      <c r="B4" s="518"/>
      <c r="C4" s="665" t="s">
        <v>27</v>
      </c>
      <c r="D4" s="666"/>
      <c r="E4" s="666"/>
      <c r="F4" s="666"/>
      <c r="G4" s="666"/>
      <c r="H4" s="667"/>
    </row>
    <row r="5" spans="1:9" ht="16.5" customHeight="1">
      <c r="A5" s="541" t="s">
        <v>3</v>
      </c>
      <c r="B5" s="519" t="s">
        <v>31</v>
      </c>
      <c r="C5" s="657" t="s">
        <v>28</v>
      </c>
      <c r="D5" s="658"/>
      <c r="E5" s="659" t="s">
        <v>29</v>
      </c>
      <c r="F5" s="660"/>
      <c r="G5" s="678" t="s">
        <v>26</v>
      </c>
      <c r="H5" s="663" t="s">
        <v>75</v>
      </c>
      <c r="I5" s="676"/>
    </row>
    <row r="6" spans="1:9" ht="24.75" customHeight="1" thickBot="1">
      <c r="A6" s="532"/>
      <c r="B6" s="532"/>
      <c r="C6" s="533" t="s">
        <v>33</v>
      </c>
      <c r="D6" s="534" t="s">
        <v>32</v>
      </c>
      <c r="E6" s="534" t="s">
        <v>32</v>
      </c>
      <c r="F6" s="535" t="s">
        <v>30</v>
      </c>
      <c r="G6" s="679"/>
      <c r="H6" s="664"/>
      <c r="I6" s="677"/>
    </row>
    <row r="7" spans="1:8" ht="15" customHeight="1">
      <c r="A7" s="546">
        <v>1</v>
      </c>
      <c r="B7" s="527" t="s">
        <v>4</v>
      </c>
      <c r="C7" s="528">
        <v>0</v>
      </c>
      <c r="D7" s="529">
        <v>0</v>
      </c>
      <c r="E7" s="530">
        <v>0</v>
      </c>
      <c r="F7" s="530">
        <v>156</v>
      </c>
      <c r="G7" s="375">
        <f>SUM(C7+D7+E7+F7)</f>
        <v>156</v>
      </c>
      <c r="H7" s="536">
        <f>G7/G30</f>
        <v>0.005514316012725344</v>
      </c>
    </row>
    <row r="8" spans="1:8" ht="15" customHeight="1">
      <c r="A8" s="542">
        <v>2</v>
      </c>
      <c r="B8" s="521" t="s">
        <v>5</v>
      </c>
      <c r="C8" s="514">
        <v>0</v>
      </c>
      <c r="D8" s="329">
        <v>0</v>
      </c>
      <c r="E8" s="330">
        <v>0</v>
      </c>
      <c r="F8" s="330">
        <v>80</v>
      </c>
      <c r="G8" s="376">
        <f>SUM(C8+D8+E8+F8)</f>
        <v>80</v>
      </c>
      <c r="H8" s="537">
        <f>G8/G30</f>
        <v>0.002827854365500177</v>
      </c>
    </row>
    <row r="9" spans="1:8" ht="15" customHeight="1">
      <c r="A9" s="542">
        <v>3</v>
      </c>
      <c r="B9" s="521" t="s">
        <v>6</v>
      </c>
      <c r="C9" s="514">
        <v>12</v>
      </c>
      <c r="D9" s="329">
        <v>0</v>
      </c>
      <c r="E9" s="330">
        <v>0</v>
      </c>
      <c r="F9" s="330">
        <v>3071</v>
      </c>
      <c r="G9" s="376">
        <f aca="true" t="shared" si="0" ref="G9:G29">SUM(C9+D9+E9+F9)</f>
        <v>3083</v>
      </c>
      <c r="H9" s="537">
        <f>G9/G30</f>
        <v>0.10897843761046307</v>
      </c>
    </row>
    <row r="10" spans="1:8" ht="15" customHeight="1">
      <c r="A10" s="542">
        <v>4</v>
      </c>
      <c r="B10" s="521" t="s">
        <v>7</v>
      </c>
      <c r="C10" s="515">
        <v>0</v>
      </c>
      <c r="D10" s="331">
        <v>0</v>
      </c>
      <c r="E10" s="332">
        <v>0</v>
      </c>
      <c r="F10" s="333">
        <v>22</v>
      </c>
      <c r="G10" s="377">
        <f t="shared" si="0"/>
        <v>22</v>
      </c>
      <c r="H10" s="537">
        <f>G10/G30</f>
        <v>0.0007776599505125487</v>
      </c>
    </row>
    <row r="11" spans="1:8" ht="24.75" customHeight="1">
      <c r="A11" s="542">
        <v>5</v>
      </c>
      <c r="B11" s="521" t="s">
        <v>8</v>
      </c>
      <c r="C11" s="514">
        <v>0</v>
      </c>
      <c r="D11" s="329">
        <v>0</v>
      </c>
      <c r="E11" s="330">
        <v>0</v>
      </c>
      <c r="F11" s="330">
        <v>18</v>
      </c>
      <c r="G11" s="377">
        <f t="shared" si="0"/>
        <v>18</v>
      </c>
      <c r="H11" s="537">
        <f>G11/G30</f>
        <v>0.0006362672322375398</v>
      </c>
    </row>
    <row r="12" spans="1:8" ht="15" customHeight="1">
      <c r="A12" s="542">
        <v>6</v>
      </c>
      <c r="B12" s="521" t="s">
        <v>9</v>
      </c>
      <c r="C12" s="515">
        <v>0</v>
      </c>
      <c r="D12" s="334">
        <v>0</v>
      </c>
      <c r="E12" s="333">
        <v>0</v>
      </c>
      <c r="F12" s="333">
        <v>4978</v>
      </c>
      <c r="G12" s="377">
        <f t="shared" si="0"/>
        <v>4978</v>
      </c>
      <c r="H12" s="537">
        <f>G12/G30</f>
        <v>0.1759632378932485</v>
      </c>
    </row>
    <row r="13" spans="1:8" ht="15" customHeight="1">
      <c r="A13" s="542">
        <v>7</v>
      </c>
      <c r="B13" s="521" t="s">
        <v>10</v>
      </c>
      <c r="C13" s="515">
        <v>0</v>
      </c>
      <c r="D13" s="334">
        <v>0</v>
      </c>
      <c r="E13" s="333">
        <v>0</v>
      </c>
      <c r="F13" s="333">
        <v>5965</v>
      </c>
      <c r="G13" s="377">
        <f t="shared" si="0"/>
        <v>5965</v>
      </c>
      <c r="H13" s="537">
        <f>G13/G30</f>
        <v>0.21085189112760694</v>
      </c>
    </row>
    <row r="14" spans="1:8" ht="15" customHeight="1">
      <c r="A14" s="542">
        <v>8</v>
      </c>
      <c r="B14" s="521" t="s">
        <v>11</v>
      </c>
      <c r="C14" s="515">
        <v>0</v>
      </c>
      <c r="D14" s="334">
        <v>0</v>
      </c>
      <c r="E14" s="334">
        <v>0</v>
      </c>
      <c r="F14" s="333">
        <v>645</v>
      </c>
      <c r="G14" s="377">
        <f t="shared" si="0"/>
        <v>645</v>
      </c>
      <c r="H14" s="537">
        <f>G14/G30</f>
        <v>0.022799575821845174</v>
      </c>
    </row>
    <row r="15" spans="1:8" ht="15" customHeight="1">
      <c r="A15" s="542">
        <v>9</v>
      </c>
      <c r="B15" s="521" t="s">
        <v>12</v>
      </c>
      <c r="C15" s="514">
        <v>0</v>
      </c>
      <c r="D15" s="329">
        <v>0</v>
      </c>
      <c r="E15" s="334">
        <v>519</v>
      </c>
      <c r="F15" s="330">
        <v>1473</v>
      </c>
      <c r="G15" s="377">
        <f t="shared" si="0"/>
        <v>1992</v>
      </c>
      <c r="H15" s="537">
        <f>G15/G30</f>
        <v>0.0704135737009544</v>
      </c>
    </row>
    <row r="16" spans="1:8" ht="15" customHeight="1">
      <c r="A16" s="542">
        <v>10</v>
      </c>
      <c r="B16" s="521" t="s">
        <v>13</v>
      </c>
      <c r="C16" s="514">
        <v>0</v>
      </c>
      <c r="D16" s="329">
        <v>0</v>
      </c>
      <c r="E16" s="330">
        <v>0</v>
      </c>
      <c r="F16" s="330">
        <v>486</v>
      </c>
      <c r="G16" s="376">
        <f t="shared" si="0"/>
        <v>486</v>
      </c>
      <c r="H16" s="537">
        <f>G16/G30</f>
        <v>0.017179215270413575</v>
      </c>
    </row>
    <row r="17" spans="1:8" ht="15" customHeight="1">
      <c r="A17" s="542">
        <v>11</v>
      </c>
      <c r="B17" s="521" t="s">
        <v>14</v>
      </c>
      <c r="C17" s="514">
        <v>0</v>
      </c>
      <c r="D17" s="329">
        <v>0</v>
      </c>
      <c r="E17" s="330">
        <v>0</v>
      </c>
      <c r="F17" s="333">
        <v>668</v>
      </c>
      <c r="G17" s="377">
        <f t="shared" si="0"/>
        <v>668</v>
      </c>
      <c r="H17" s="537">
        <f>G17/G30</f>
        <v>0.023612583951926475</v>
      </c>
    </row>
    <row r="18" spans="1:8" ht="15" customHeight="1">
      <c r="A18" s="542">
        <v>12</v>
      </c>
      <c r="B18" s="521" t="s">
        <v>15</v>
      </c>
      <c r="C18" s="514">
        <v>0</v>
      </c>
      <c r="D18" s="329">
        <v>0</v>
      </c>
      <c r="E18" s="330"/>
      <c r="F18" s="330">
        <v>163</v>
      </c>
      <c r="G18" s="376">
        <f t="shared" si="0"/>
        <v>163</v>
      </c>
      <c r="H18" s="537">
        <f>G18/G30</f>
        <v>0.00576175326970661</v>
      </c>
    </row>
    <row r="19" spans="1:8" ht="15" customHeight="1">
      <c r="A19" s="542">
        <v>13</v>
      </c>
      <c r="B19" s="521" t="s">
        <v>16</v>
      </c>
      <c r="C19" s="514">
        <v>0</v>
      </c>
      <c r="D19" s="329">
        <v>0</v>
      </c>
      <c r="E19" s="330">
        <v>0</v>
      </c>
      <c r="F19" s="330">
        <v>1218</v>
      </c>
      <c r="G19" s="376">
        <f t="shared" si="0"/>
        <v>1218</v>
      </c>
      <c r="H19" s="537">
        <f>G19/G30</f>
        <v>0.04305408271474019</v>
      </c>
    </row>
    <row r="20" spans="1:8" ht="15" customHeight="1">
      <c r="A20" s="542">
        <v>14</v>
      </c>
      <c r="B20" s="521" t="s">
        <v>17</v>
      </c>
      <c r="C20" s="514">
        <v>0</v>
      </c>
      <c r="D20" s="329">
        <v>0</v>
      </c>
      <c r="E20" s="330">
        <v>0</v>
      </c>
      <c r="F20" s="330">
        <v>545</v>
      </c>
      <c r="G20" s="376">
        <f t="shared" si="0"/>
        <v>545</v>
      </c>
      <c r="H20" s="537">
        <f>G20/G30</f>
        <v>0.019264757864969954</v>
      </c>
    </row>
    <row r="21" spans="1:8" ht="15" customHeight="1">
      <c r="A21" s="543">
        <v>15</v>
      </c>
      <c r="B21" s="521" t="s">
        <v>18</v>
      </c>
      <c r="C21" s="514">
        <v>0</v>
      </c>
      <c r="D21" s="329">
        <v>0</v>
      </c>
      <c r="E21" s="330">
        <v>0</v>
      </c>
      <c r="F21" s="330">
        <v>2651</v>
      </c>
      <c r="G21" s="376">
        <f t="shared" si="0"/>
        <v>2651</v>
      </c>
      <c r="H21" s="537">
        <f>G21/G30</f>
        <v>0.09370802403676211</v>
      </c>
    </row>
    <row r="22" spans="1:8" ht="15" customHeight="1">
      <c r="A22" s="542">
        <v>16</v>
      </c>
      <c r="B22" s="521" t="s">
        <v>19</v>
      </c>
      <c r="C22" s="514">
        <v>0</v>
      </c>
      <c r="D22" s="329">
        <v>0</v>
      </c>
      <c r="E22" s="330">
        <v>0</v>
      </c>
      <c r="F22" s="330">
        <v>2214</v>
      </c>
      <c r="G22" s="377">
        <f t="shared" si="0"/>
        <v>2214</v>
      </c>
      <c r="H22" s="537">
        <f>G22/G30</f>
        <v>0.0782608695652174</v>
      </c>
    </row>
    <row r="23" spans="1:8" ht="24" customHeight="1">
      <c r="A23" s="543">
        <v>17</v>
      </c>
      <c r="B23" s="521" t="s">
        <v>20</v>
      </c>
      <c r="C23" s="514">
        <v>0</v>
      </c>
      <c r="D23" s="329">
        <v>0</v>
      </c>
      <c r="E23" s="330">
        <v>0</v>
      </c>
      <c r="F23" s="330">
        <v>327</v>
      </c>
      <c r="G23" s="376">
        <f t="shared" si="0"/>
        <v>327</v>
      </c>
      <c r="H23" s="537">
        <f>G23/G30</f>
        <v>0.011558854718981973</v>
      </c>
    </row>
    <row r="24" spans="1:8" ht="15" customHeight="1">
      <c r="A24" s="542">
        <v>18</v>
      </c>
      <c r="B24" s="522" t="s">
        <v>21</v>
      </c>
      <c r="C24" s="514">
        <v>0</v>
      </c>
      <c r="D24" s="329">
        <v>0</v>
      </c>
      <c r="E24" s="330">
        <v>5</v>
      </c>
      <c r="F24" s="330">
        <v>280</v>
      </c>
      <c r="G24" s="376">
        <f t="shared" si="0"/>
        <v>285</v>
      </c>
      <c r="H24" s="537">
        <f>G24/G30</f>
        <v>0.01007423117709438</v>
      </c>
    </row>
    <row r="25" spans="1:8" ht="15" customHeight="1">
      <c r="A25" s="542">
        <v>19</v>
      </c>
      <c r="B25" s="522" t="s">
        <v>22</v>
      </c>
      <c r="C25" s="514">
        <v>0</v>
      </c>
      <c r="D25" s="329">
        <v>0</v>
      </c>
      <c r="E25" s="330">
        <v>4</v>
      </c>
      <c r="F25" s="330">
        <v>467</v>
      </c>
      <c r="G25" s="376">
        <f t="shared" si="0"/>
        <v>471</v>
      </c>
      <c r="H25" s="537">
        <f>G25/G30</f>
        <v>0.01664899257688229</v>
      </c>
    </row>
    <row r="26" spans="1:8" ht="38.25" customHeight="1">
      <c r="A26" s="543">
        <v>20</v>
      </c>
      <c r="B26" s="522" t="s">
        <v>23</v>
      </c>
      <c r="C26" s="514">
        <v>0</v>
      </c>
      <c r="D26" s="329">
        <v>0</v>
      </c>
      <c r="E26" s="330">
        <v>0</v>
      </c>
      <c r="F26" s="330">
        <v>48</v>
      </c>
      <c r="G26" s="378">
        <f t="shared" si="0"/>
        <v>48</v>
      </c>
      <c r="H26" s="537">
        <f>G26/G30</f>
        <v>0.001696712619300106</v>
      </c>
    </row>
    <row r="27" spans="1:8" ht="15" customHeight="1">
      <c r="A27" s="542">
        <v>21</v>
      </c>
      <c r="B27" s="522" t="s">
        <v>24</v>
      </c>
      <c r="C27" s="514">
        <v>0</v>
      </c>
      <c r="D27" s="329">
        <v>0</v>
      </c>
      <c r="E27" s="330">
        <v>0</v>
      </c>
      <c r="F27" s="330">
        <v>18</v>
      </c>
      <c r="G27" s="376">
        <f t="shared" si="0"/>
        <v>18</v>
      </c>
      <c r="H27" s="537">
        <f>G27/G30</f>
        <v>0.0006362672322375398</v>
      </c>
    </row>
    <row r="28" spans="1:8" ht="15" customHeight="1">
      <c r="A28" s="542">
        <v>22</v>
      </c>
      <c r="B28" s="523" t="s">
        <v>25</v>
      </c>
      <c r="C28" s="514">
        <v>0</v>
      </c>
      <c r="D28" s="329">
        <v>0</v>
      </c>
      <c r="E28" s="330">
        <v>0</v>
      </c>
      <c r="F28" s="330">
        <v>2235</v>
      </c>
      <c r="G28" s="376">
        <f t="shared" si="0"/>
        <v>2235</v>
      </c>
      <c r="H28" s="537">
        <f>G28/G30</f>
        <v>0.07900318133616119</v>
      </c>
    </row>
    <row r="29" spans="1:8" ht="15" customHeight="1" thickBot="1">
      <c r="A29" s="547">
        <v>23</v>
      </c>
      <c r="B29" s="524" t="s">
        <v>85</v>
      </c>
      <c r="C29" s="516">
        <v>0</v>
      </c>
      <c r="D29" s="335">
        <v>0</v>
      </c>
      <c r="E29" s="336">
        <v>0</v>
      </c>
      <c r="F29" s="336">
        <v>22</v>
      </c>
      <c r="G29" s="378">
        <f t="shared" si="0"/>
        <v>22</v>
      </c>
      <c r="H29" s="538">
        <f>G29/G30</f>
        <v>0.0007776599505125487</v>
      </c>
    </row>
    <row r="30" spans="1:8" ht="15" customHeight="1" thickBot="1">
      <c r="A30" s="548"/>
      <c r="B30" s="525" t="s">
        <v>26</v>
      </c>
      <c r="C30" s="517">
        <f aca="true" t="shared" si="1" ref="C30:H30">SUM(C7:C29)</f>
        <v>12</v>
      </c>
      <c r="D30" s="337">
        <f t="shared" si="1"/>
        <v>0</v>
      </c>
      <c r="E30" s="337">
        <f t="shared" si="1"/>
        <v>528</v>
      </c>
      <c r="F30" s="337">
        <f t="shared" si="1"/>
        <v>27750</v>
      </c>
      <c r="G30" s="379">
        <f t="shared" si="1"/>
        <v>28290</v>
      </c>
      <c r="H30" s="539">
        <f t="shared" si="1"/>
        <v>1</v>
      </c>
    </row>
    <row r="31" spans="1:7" ht="12.75">
      <c r="A31" s="348"/>
      <c r="B31" s="349"/>
      <c r="C31" s="350"/>
      <c r="D31" s="350"/>
      <c r="E31" s="350"/>
      <c r="F31" s="350"/>
      <c r="G31" s="350"/>
    </row>
    <row r="32" spans="1:7" ht="12.75">
      <c r="A32" s="348"/>
      <c r="B32" s="349"/>
      <c r="C32" s="350"/>
      <c r="D32" s="350"/>
      <c r="E32" s="350"/>
      <c r="F32" s="350"/>
      <c r="G32" s="350"/>
    </row>
    <row r="33" spans="1:7" ht="12.75">
      <c r="A33" s="339" t="s">
        <v>108</v>
      </c>
      <c r="B33" s="339"/>
      <c r="E33" s="342"/>
      <c r="F33" s="343" t="s">
        <v>34</v>
      </c>
      <c r="G33" s="342"/>
    </row>
    <row r="34" spans="1:7" ht="12.75">
      <c r="A34" s="675">
        <v>41491</v>
      </c>
      <c r="B34" s="675"/>
      <c r="E34" s="342"/>
      <c r="F34" s="343" t="s">
        <v>35</v>
      </c>
      <c r="G34" s="342"/>
    </row>
  </sheetData>
  <sheetProtection/>
  <mergeCells count="8">
    <mergeCell ref="A34:B34"/>
    <mergeCell ref="A2:G3"/>
    <mergeCell ref="I5:I6"/>
    <mergeCell ref="C4:H4"/>
    <mergeCell ref="H5:H6"/>
    <mergeCell ref="C5:D5"/>
    <mergeCell ref="E5:F5"/>
    <mergeCell ref="G5:G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6">
      <selection activeCell="C28" sqref="C28"/>
    </sheetView>
  </sheetViews>
  <sheetFormatPr defaultColWidth="9.140625" defaultRowHeight="12.75"/>
  <cols>
    <col min="1" max="1" width="5.28125" style="327" customWidth="1"/>
    <col min="2" max="2" width="54.42187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1" spans="1:2" ht="12.75">
      <c r="A1" s="326" t="s">
        <v>112</v>
      </c>
      <c r="B1" s="346"/>
    </row>
    <row r="2" spans="1:7" ht="26.25" customHeight="1">
      <c r="A2" s="626" t="s">
        <v>113</v>
      </c>
      <c r="B2" s="626"/>
      <c r="C2" s="626"/>
      <c r="D2" s="626"/>
      <c r="E2" s="626"/>
      <c r="F2" s="626"/>
      <c r="G2" s="626"/>
    </row>
    <row r="3" spans="1:7" ht="13.5" thickBot="1">
      <c r="A3" s="648"/>
      <c r="B3" s="648"/>
      <c r="C3" s="648"/>
      <c r="D3" s="648"/>
      <c r="E3" s="648"/>
      <c r="F3" s="648"/>
      <c r="G3" s="648"/>
    </row>
    <row r="4" spans="1:8" ht="18" customHeight="1">
      <c r="A4" s="540"/>
      <c r="B4" s="518"/>
      <c r="C4" s="665" t="s">
        <v>27</v>
      </c>
      <c r="D4" s="666"/>
      <c r="E4" s="666"/>
      <c r="F4" s="666"/>
      <c r="G4" s="666"/>
      <c r="H4" s="667"/>
    </row>
    <row r="5" spans="1:9" ht="18.75" customHeight="1">
      <c r="A5" s="541" t="s">
        <v>3</v>
      </c>
      <c r="B5" s="519" t="s">
        <v>31</v>
      </c>
      <c r="C5" s="657" t="s">
        <v>28</v>
      </c>
      <c r="D5" s="658"/>
      <c r="E5" s="659" t="s">
        <v>29</v>
      </c>
      <c r="F5" s="660"/>
      <c r="G5" s="678" t="s">
        <v>26</v>
      </c>
      <c r="H5" s="663" t="s">
        <v>75</v>
      </c>
      <c r="I5" s="681"/>
    </row>
    <row r="6" spans="1:9" ht="24.75" customHeight="1" thickBot="1">
      <c r="A6" s="532"/>
      <c r="B6" s="532"/>
      <c r="C6" s="533" t="s">
        <v>33</v>
      </c>
      <c r="D6" s="534" t="s">
        <v>32</v>
      </c>
      <c r="E6" s="534" t="s">
        <v>32</v>
      </c>
      <c r="F6" s="535" t="s">
        <v>30</v>
      </c>
      <c r="G6" s="679"/>
      <c r="H6" s="664"/>
      <c r="I6" s="681"/>
    </row>
    <row r="7" spans="1:8" ht="15" customHeight="1">
      <c r="A7" s="546">
        <v>1</v>
      </c>
      <c r="B7" s="527" t="s">
        <v>4</v>
      </c>
      <c r="C7" s="528">
        <v>0</v>
      </c>
      <c r="D7" s="529">
        <v>0</v>
      </c>
      <c r="E7" s="530">
        <v>0</v>
      </c>
      <c r="F7" s="530">
        <v>162</v>
      </c>
      <c r="G7" s="375">
        <f>SUM(C7+D7+E7+F7)</f>
        <v>162</v>
      </c>
      <c r="H7" s="550">
        <f>G7/G30</f>
        <v>0.005486318070983473</v>
      </c>
    </row>
    <row r="8" spans="1:8" ht="15" customHeight="1">
      <c r="A8" s="542">
        <v>2</v>
      </c>
      <c r="B8" s="521" t="s">
        <v>5</v>
      </c>
      <c r="C8" s="514">
        <v>0</v>
      </c>
      <c r="D8" s="329">
        <v>0</v>
      </c>
      <c r="E8" s="330">
        <v>0</v>
      </c>
      <c r="F8" s="330">
        <v>78</v>
      </c>
      <c r="G8" s="376">
        <f>SUM(C8+D8+E8+F8)</f>
        <v>78</v>
      </c>
      <c r="H8" s="537">
        <f>G8/G30</f>
        <v>0.002641560552695746</v>
      </c>
    </row>
    <row r="9" spans="1:8" ht="15" customHeight="1">
      <c r="A9" s="542">
        <v>3</v>
      </c>
      <c r="B9" s="521" t="s">
        <v>6</v>
      </c>
      <c r="C9" s="514">
        <v>7</v>
      </c>
      <c r="D9" s="329">
        <v>0</v>
      </c>
      <c r="E9" s="330">
        <v>0</v>
      </c>
      <c r="F9" s="330">
        <v>3063</v>
      </c>
      <c r="G9" s="376">
        <f aca="true" t="shared" si="0" ref="G9:G29">SUM(C9+D9+E9+F9)</f>
        <v>3070</v>
      </c>
      <c r="H9" s="537">
        <f>G9/G30</f>
        <v>0.10396911406123002</v>
      </c>
    </row>
    <row r="10" spans="1:8" ht="15" customHeight="1">
      <c r="A10" s="542">
        <v>4</v>
      </c>
      <c r="B10" s="521" t="s">
        <v>7</v>
      </c>
      <c r="C10" s="515">
        <v>0</v>
      </c>
      <c r="D10" s="331">
        <v>0</v>
      </c>
      <c r="E10" s="332">
        <v>0</v>
      </c>
      <c r="F10" s="333">
        <v>20</v>
      </c>
      <c r="G10" s="377">
        <f t="shared" si="0"/>
        <v>20</v>
      </c>
      <c r="H10" s="537">
        <f>G10/G30</f>
        <v>0.000677323218639935</v>
      </c>
    </row>
    <row r="11" spans="1:8" ht="24.75" customHeight="1">
      <c r="A11" s="542">
        <v>5</v>
      </c>
      <c r="B11" s="521" t="s">
        <v>8</v>
      </c>
      <c r="C11" s="514">
        <v>0</v>
      </c>
      <c r="D11" s="329">
        <v>0</v>
      </c>
      <c r="E11" s="330">
        <v>0</v>
      </c>
      <c r="F11" s="330">
        <v>15</v>
      </c>
      <c r="G11" s="377">
        <f t="shared" si="0"/>
        <v>15</v>
      </c>
      <c r="H11" s="537">
        <f>G11/G30</f>
        <v>0.0005079924139799512</v>
      </c>
    </row>
    <row r="12" spans="1:8" ht="15" customHeight="1">
      <c r="A12" s="542">
        <v>6</v>
      </c>
      <c r="B12" s="521" t="s">
        <v>9</v>
      </c>
      <c r="C12" s="515">
        <v>0</v>
      </c>
      <c r="D12" s="334">
        <v>0</v>
      </c>
      <c r="E12" s="333">
        <v>0</v>
      </c>
      <c r="F12" s="333">
        <v>5064</v>
      </c>
      <c r="G12" s="377">
        <f t="shared" si="0"/>
        <v>5064</v>
      </c>
      <c r="H12" s="537">
        <f>G12/G30</f>
        <v>0.17149823895963154</v>
      </c>
    </row>
    <row r="13" spans="1:8" ht="24.75" customHeight="1">
      <c r="A13" s="542">
        <v>7</v>
      </c>
      <c r="B13" s="521" t="s">
        <v>10</v>
      </c>
      <c r="C13" s="515">
        <v>0</v>
      </c>
      <c r="D13" s="334">
        <v>0</v>
      </c>
      <c r="E13" s="333">
        <v>0</v>
      </c>
      <c r="F13" s="333">
        <v>5991</v>
      </c>
      <c r="G13" s="377">
        <f t="shared" si="0"/>
        <v>5991</v>
      </c>
      <c r="H13" s="537">
        <f>G13/G30</f>
        <v>0.2028921701435925</v>
      </c>
    </row>
    <row r="14" spans="1:8" ht="15" customHeight="1">
      <c r="A14" s="542">
        <v>8</v>
      </c>
      <c r="B14" s="521" t="s">
        <v>11</v>
      </c>
      <c r="C14" s="515">
        <v>0</v>
      </c>
      <c r="D14" s="334">
        <v>0</v>
      </c>
      <c r="E14" s="334">
        <v>0</v>
      </c>
      <c r="F14" s="333">
        <v>663</v>
      </c>
      <c r="G14" s="377">
        <f t="shared" si="0"/>
        <v>663</v>
      </c>
      <c r="H14" s="537">
        <f>G14/G30</f>
        <v>0.022453264697913845</v>
      </c>
    </row>
    <row r="15" spans="1:8" ht="15" customHeight="1">
      <c r="A15" s="542">
        <v>9</v>
      </c>
      <c r="B15" s="521" t="s">
        <v>12</v>
      </c>
      <c r="C15" s="514">
        <v>0</v>
      </c>
      <c r="D15" s="329">
        <v>0</v>
      </c>
      <c r="E15" s="334">
        <v>409</v>
      </c>
      <c r="F15" s="330">
        <v>1462</v>
      </c>
      <c r="G15" s="377">
        <f t="shared" si="0"/>
        <v>1871</v>
      </c>
      <c r="H15" s="537">
        <f>G15/G30</f>
        <v>0.06336358710376591</v>
      </c>
    </row>
    <row r="16" spans="1:8" ht="15" customHeight="1">
      <c r="A16" s="542">
        <v>10</v>
      </c>
      <c r="B16" s="521" t="s">
        <v>13</v>
      </c>
      <c r="C16" s="514">
        <v>0</v>
      </c>
      <c r="D16" s="329">
        <v>0</v>
      </c>
      <c r="E16" s="330">
        <v>0</v>
      </c>
      <c r="F16" s="330">
        <v>523</v>
      </c>
      <c r="G16" s="376">
        <f t="shared" si="0"/>
        <v>523</v>
      </c>
      <c r="H16" s="537">
        <f>G16/G30</f>
        <v>0.0177120021674343</v>
      </c>
    </row>
    <row r="17" spans="1:8" ht="15" customHeight="1">
      <c r="A17" s="542">
        <v>11</v>
      </c>
      <c r="B17" s="521" t="s">
        <v>14</v>
      </c>
      <c r="C17" s="514">
        <v>0</v>
      </c>
      <c r="D17" s="329">
        <v>0</v>
      </c>
      <c r="E17" s="330">
        <v>0</v>
      </c>
      <c r="F17" s="333">
        <v>714</v>
      </c>
      <c r="G17" s="377">
        <f t="shared" si="0"/>
        <v>714</v>
      </c>
      <c r="H17" s="537">
        <f>G17/G30</f>
        <v>0.02418043890544568</v>
      </c>
    </row>
    <row r="18" spans="1:8" ht="15" customHeight="1">
      <c r="A18" s="542">
        <v>12</v>
      </c>
      <c r="B18" s="521" t="s">
        <v>15</v>
      </c>
      <c r="C18" s="514">
        <v>0</v>
      </c>
      <c r="D18" s="329">
        <v>0</v>
      </c>
      <c r="E18" s="330"/>
      <c r="F18" s="330">
        <v>166</v>
      </c>
      <c r="G18" s="376">
        <f t="shared" si="0"/>
        <v>166</v>
      </c>
      <c r="H18" s="537">
        <f>G18/G30</f>
        <v>0.005621782714711461</v>
      </c>
    </row>
    <row r="19" spans="1:8" ht="15" customHeight="1">
      <c r="A19" s="542">
        <v>13</v>
      </c>
      <c r="B19" s="521" t="s">
        <v>16</v>
      </c>
      <c r="C19" s="514">
        <v>0</v>
      </c>
      <c r="D19" s="329">
        <v>0</v>
      </c>
      <c r="E19" s="330">
        <v>0</v>
      </c>
      <c r="F19" s="330">
        <v>1291</v>
      </c>
      <c r="G19" s="376">
        <f t="shared" si="0"/>
        <v>1291</v>
      </c>
      <c r="H19" s="537">
        <f>G19/G30</f>
        <v>0.043721213763207804</v>
      </c>
    </row>
    <row r="20" spans="1:8" ht="15" customHeight="1">
      <c r="A20" s="542">
        <v>14</v>
      </c>
      <c r="B20" s="521" t="s">
        <v>17</v>
      </c>
      <c r="C20" s="514">
        <v>0</v>
      </c>
      <c r="D20" s="329">
        <v>0</v>
      </c>
      <c r="E20" s="330">
        <v>0</v>
      </c>
      <c r="F20" s="330">
        <v>514</v>
      </c>
      <c r="G20" s="376">
        <f t="shared" si="0"/>
        <v>514</v>
      </c>
      <c r="H20" s="537">
        <f>G20/G30</f>
        <v>0.017407206719046327</v>
      </c>
    </row>
    <row r="21" spans="1:8" ht="15" customHeight="1">
      <c r="A21" s="543">
        <v>15</v>
      </c>
      <c r="B21" s="521" t="s">
        <v>18</v>
      </c>
      <c r="C21" s="514">
        <v>0</v>
      </c>
      <c r="D21" s="329">
        <v>0</v>
      </c>
      <c r="E21" s="330">
        <v>0</v>
      </c>
      <c r="F21" s="330">
        <v>2401</v>
      </c>
      <c r="G21" s="376">
        <f t="shared" si="0"/>
        <v>2401</v>
      </c>
      <c r="H21" s="537">
        <f>G21/G30</f>
        <v>0.0813126523977242</v>
      </c>
    </row>
    <row r="22" spans="1:8" ht="15" customHeight="1">
      <c r="A22" s="542">
        <v>16</v>
      </c>
      <c r="B22" s="521" t="s">
        <v>19</v>
      </c>
      <c r="C22" s="514">
        <v>0</v>
      </c>
      <c r="D22" s="329">
        <v>0</v>
      </c>
      <c r="E22" s="330">
        <v>0</v>
      </c>
      <c r="F22" s="330">
        <v>3314</v>
      </c>
      <c r="G22" s="377">
        <f t="shared" si="0"/>
        <v>3314</v>
      </c>
      <c r="H22" s="537">
        <f>G22/G30</f>
        <v>0.11223245732863722</v>
      </c>
    </row>
    <row r="23" spans="1:8" ht="24.75" customHeight="1">
      <c r="A23" s="543">
        <v>17</v>
      </c>
      <c r="B23" s="521" t="s">
        <v>20</v>
      </c>
      <c r="C23" s="514">
        <v>0</v>
      </c>
      <c r="D23" s="329">
        <v>0</v>
      </c>
      <c r="E23" s="330">
        <v>0</v>
      </c>
      <c r="F23" s="330">
        <v>372</v>
      </c>
      <c r="G23" s="376">
        <f t="shared" si="0"/>
        <v>372</v>
      </c>
      <c r="H23" s="537">
        <f>G23/G30</f>
        <v>0.012598211866702791</v>
      </c>
    </row>
    <row r="24" spans="1:8" ht="15" customHeight="1">
      <c r="A24" s="542">
        <v>18</v>
      </c>
      <c r="B24" s="522" t="s">
        <v>21</v>
      </c>
      <c r="C24" s="514">
        <v>0</v>
      </c>
      <c r="D24" s="329">
        <v>0</v>
      </c>
      <c r="E24" s="330">
        <v>5</v>
      </c>
      <c r="F24" s="330">
        <v>290</v>
      </c>
      <c r="G24" s="376">
        <f t="shared" si="0"/>
        <v>295</v>
      </c>
      <c r="H24" s="537">
        <f>G24/G30</f>
        <v>0.00999051747493904</v>
      </c>
    </row>
    <row r="25" spans="1:8" ht="15" customHeight="1">
      <c r="A25" s="542">
        <v>19</v>
      </c>
      <c r="B25" s="522" t="s">
        <v>22</v>
      </c>
      <c r="C25" s="514">
        <v>0</v>
      </c>
      <c r="D25" s="329">
        <v>0</v>
      </c>
      <c r="E25" s="330">
        <v>4</v>
      </c>
      <c r="F25" s="330">
        <v>567</v>
      </c>
      <c r="G25" s="376">
        <f t="shared" si="0"/>
        <v>571</v>
      </c>
      <c r="H25" s="537">
        <f>G25/G30</f>
        <v>0.019337577892170145</v>
      </c>
    </row>
    <row r="26" spans="1:8" ht="39" customHeight="1">
      <c r="A26" s="543">
        <v>20</v>
      </c>
      <c r="B26" s="522" t="s">
        <v>23</v>
      </c>
      <c r="C26" s="514">
        <v>0</v>
      </c>
      <c r="D26" s="329">
        <v>0</v>
      </c>
      <c r="E26" s="330">
        <v>0</v>
      </c>
      <c r="F26" s="330">
        <v>45</v>
      </c>
      <c r="G26" s="378">
        <f t="shared" si="0"/>
        <v>45</v>
      </c>
      <c r="H26" s="537">
        <f>G26/G30</f>
        <v>0.0015239772419398537</v>
      </c>
    </row>
    <row r="27" spans="1:8" ht="15" customHeight="1">
      <c r="A27" s="542">
        <v>21</v>
      </c>
      <c r="B27" s="522" t="s">
        <v>24</v>
      </c>
      <c r="C27" s="514">
        <v>0</v>
      </c>
      <c r="D27" s="329">
        <v>0</v>
      </c>
      <c r="E27" s="330">
        <v>0</v>
      </c>
      <c r="F27" s="330">
        <v>21</v>
      </c>
      <c r="G27" s="376">
        <f t="shared" si="0"/>
        <v>21</v>
      </c>
      <c r="H27" s="537">
        <f>G27/G30</f>
        <v>0.0007111893795719317</v>
      </c>
    </row>
    <row r="28" spans="1:8" ht="15" customHeight="1">
      <c r="A28" s="542">
        <v>22</v>
      </c>
      <c r="B28" s="523" t="s">
        <v>25</v>
      </c>
      <c r="C28" s="514">
        <v>0</v>
      </c>
      <c r="D28" s="329">
        <v>0</v>
      </c>
      <c r="E28" s="330">
        <v>0</v>
      </c>
      <c r="F28" s="330">
        <v>2363</v>
      </c>
      <c r="G28" s="376">
        <f t="shared" si="0"/>
        <v>2363</v>
      </c>
      <c r="H28" s="537">
        <f>G28/G30</f>
        <v>0.08002573828230831</v>
      </c>
    </row>
    <row r="29" spans="1:8" ht="15" customHeight="1" thickBot="1">
      <c r="A29" s="547">
        <v>23</v>
      </c>
      <c r="B29" s="524" t="s">
        <v>85</v>
      </c>
      <c r="C29" s="516">
        <v>0</v>
      </c>
      <c r="D29" s="335">
        <v>0</v>
      </c>
      <c r="E29" s="336">
        <v>0</v>
      </c>
      <c r="F29" s="336">
        <v>4</v>
      </c>
      <c r="G29" s="378">
        <f t="shared" si="0"/>
        <v>4</v>
      </c>
      <c r="H29" s="551">
        <f>G29/G30</f>
        <v>0.000135464643727987</v>
      </c>
    </row>
    <row r="30" spans="1:8" ht="15" customHeight="1" thickBot="1">
      <c r="A30" s="548"/>
      <c r="B30" s="525" t="s">
        <v>26</v>
      </c>
      <c r="C30" s="517">
        <f aca="true" t="shared" si="1" ref="C30:H30">SUM(C7:C29)</f>
        <v>7</v>
      </c>
      <c r="D30" s="337">
        <f t="shared" si="1"/>
        <v>0</v>
      </c>
      <c r="E30" s="337">
        <f t="shared" si="1"/>
        <v>418</v>
      </c>
      <c r="F30" s="337">
        <f t="shared" si="1"/>
        <v>29103</v>
      </c>
      <c r="G30" s="338">
        <f t="shared" si="1"/>
        <v>29528</v>
      </c>
      <c r="H30" s="549">
        <f t="shared" si="1"/>
        <v>0.9999999999999999</v>
      </c>
    </row>
    <row r="31" spans="1:7" ht="12.75">
      <c r="A31" s="348"/>
      <c r="B31" s="349"/>
      <c r="C31" s="350"/>
      <c r="D31" s="350"/>
      <c r="E31" s="350"/>
      <c r="F31" s="350"/>
      <c r="G31" s="350"/>
    </row>
    <row r="32" spans="1:7" ht="12.75">
      <c r="A32" s="339" t="s">
        <v>111</v>
      </c>
      <c r="B32" s="383"/>
      <c r="E32" s="342"/>
      <c r="F32" s="343" t="s">
        <v>34</v>
      </c>
      <c r="G32" s="342"/>
    </row>
    <row r="33" spans="1:7" ht="12.75">
      <c r="A33" s="680">
        <v>41522</v>
      </c>
      <c r="B33" s="680"/>
      <c r="E33" s="342"/>
      <c r="F33" s="343" t="s">
        <v>35</v>
      </c>
      <c r="G33" s="342"/>
    </row>
  </sheetData>
  <sheetProtection/>
  <mergeCells count="8">
    <mergeCell ref="A33:B33"/>
    <mergeCell ref="A2:G3"/>
    <mergeCell ref="I5:I6"/>
    <mergeCell ref="H5:H6"/>
    <mergeCell ref="C4:H4"/>
    <mergeCell ref="C5:D5"/>
    <mergeCell ref="E5:F5"/>
    <mergeCell ref="G5:G6"/>
  </mergeCells>
  <printOptions/>
  <pageMargins left="0.11811023622047245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6">
      <selection activeCell="C33" sqref="C33"/>
    </sheetView>
  </sheetViews>
  <sheetFormatPr defaultColWidth="9.140625" defaultRowHeight="12.75"/>
  <cols>
    <col min="1" max="1" width="5.421875" style="327" customWidth="1"/>
    <col min="2" max="2" width="50.2812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2" spans="1:2" ht="12.75">
      <c r="A2" s="326" t="s">
        <v>114</v>
      </c>
      <c r="B2" s="346"/>
    </row>
    <row r="3" spans="1:7" ht="27" customHeight="1">
      <c r="A3" s="626" t="s">
        <v>115</v>
      </c>
      <c r="B3" s="626"/>
      <c r="C3" s="626"/>
      <c r="D3" s="626"/>
      <c r="E3" s="626"/>
      <c r="F3" s="626"/>
      <c r="G3" s="626"/>
    </row>
    <row r="4" spans="1:7" ht="13.5" thickBot="1">
      <c r="A4" s="648"/>
      <c r="B4" s="648"/>
      <c r="C4" s="648"/>
      <c r="D4" s="648"/>
      <c r="E4" s="648"/>
      <c r="F4" s="648"/>
      <c r="G4" s="648"/>
    </row>
    <row r="5" spans="1:8" ht="16.5" customHeight="1">
      <c r="A5" s="509"/>
      <c r="B5" s="518"/>
      <c r="C5" s="665" t="s">
        <v>27</v>
      </c>
      <c r="D5" s="666"/>
      <c r="E5" s="666"/>
      <c r="F5" s="666"/>
      <c r="G5" s="666"/>
      <c r="H5" s="667"/>
    </row>
    <row r="6" spans="1:9" ht="12.75" customHeight="1">
      <c r="A6" s="510" t="s">
        <v>3</v>
      </c>
      <c r="B6" s="519" t="s">
        <v>31</v>
      </c>
      <c r="C6" s="657" t="s">
        <v>28</v>
      </c>
      <c r="D6" s="658"/>
      <c r="E6" s="659" t="s">
        <v>29</v>
      </c>
      <c r="F6" s="660"/>
      <c r="G6" s="678" t="s">
        <v>26</v>
      </c>
      <c r="H6" s="663" t="s">
        <v>75</v>
      </c>
      <c r="I6" s="681"/>
    </row>
    <row r="7" spans="1:9" ht="27" customHeight="1" thickBot="1">
      <c r="A7" s="511"/>
      <c r="B7" s="532"/>
      <c r="C7" s="533" t="s">
        <v>33</v>
      </c>
      <c r="D7" s="534" t="s">
        <v>32</v>
      </c>
      <c r="E7" s="534" t="s">
        <v>32</v>
      </c>
      <c r="F7" s="535" t="s">
        <v>30</v>
      </c>
      <c r="G7" s="679"/>
      <c r="H7" s="664"/>
      <c r="I7" s="681"/>
    </row>
    <row r="8" spans="1:8" ht="15" customHeight="1">
      <c r="A8" s="512">
        <v>1</v>
      </c>
      <c r="B8" s="527" t="s">
        <v>4</v>
      </c>
      <c r="C8" s="528">
        <v>0</v>
      </c>
      <c r="D8" s="529">
        <v>0</v>
      </c>
      <c r="E8" s="530">
        <v>0</v>
      </c>
      <c r="F8" s="530">
        <v>164</v>
      </c>
      <c r="G8" s="375">
        <f>SUM(C8+D8+E8+F8)</f>
        <v>164</v>
      </c>
      <c r="H8" s="550">
        <f>G8/G31</f>
        <v>0.005404514747075301</v>
      </c>
    </row>
    <row r="9" spans="1:8" ht="15" customHeight="1">
      <c r="A9" s="512">
        <v>2</v>
      </c>
      <c r="B9" s="521" t="s">
        <v>5</v>
      </c>
      <c r="C9" s="514">
        <v>0</v>
      </c>
      <c r="D9" s="329">
        <v>0</v>
      </c>
      <c r="E9" s="330">
        <v>0</v>
      </c>
      <c r="F9" s="330">
        <v>83</v>
      </c>
      <c r="G9" s="376">
        <f>SUM(C9+D9+E9+F9)</f>
        <v>83</v>
      </c>
      <c r="H9" s="537">
        <f>G9/G31</f>
        <v>0.002735211731751524</v>
      </c>
    </row>
    <row r="10" spans="1:8" ht="15" customHeight="1">
      <c r="A10" s="512">
        <v>3</v>
      </c>
      <c r="B10" s="521" t="s">
        <v>6</v>
      </c>
      <c r="C10" s="514">
        <v>0</v>
      </c>
      <c r="D10" s="329">
        <v>0</v>
      </c>
      <c r="E10" s="330">
        <v>0</v>
      </c>
      <c r="F10" s="330">
        <v>2947</v>
      </c>
      <c r="G10" s="376">
        <f aca="true" t="shared" si="0" ref="G10:G30">SUM(C10+D10+E10+F10)</f>
        <v>2947</v>
      </c>
      <c r="H10" s="537">
        <f>G10/G31</f>
        <v>0.09711649365628604</v>
      </c>
    </row>
    <row r="11" spans="1:8" ht="15" customHeight="1">
      <c r="A11" s="512">
        <v>4</v>
      </c>
      <c r="B11" s="521" t="s">
        <v>7</v>
      </c>
      <c r="C11" s="515">
        <v>0</v>
      </c>
      <c r="D11" s="331">
        <v>0</v>
      </c>
      <c r="E11" s="332">
        <v>0</v>
      </c>
      <c r="F11" s="333">
        <v>20</v>
      </c>
      <c r="G11" s="377">
        <f t="shared" si="0"/>
        <v>20</v>
      </c>
      <c r="H11" s="537">
        <f>G11/G31</f>
        <v>0.0006590871642774757</v>
      </c>
    </row>
    <row r="12" spans="1:8" ht="23.25" customHeight="1">
      <c r="A12" s="512">
        <v>5</v>
      </c>
      <c r="B12" s="521" t="s">
        <v>8</v>
      </c>
      <c r="C12" s="514">
        <v>0</v>
      </c>
      <c r="D12" s="329">
        <v>0</v>
      </c>
      <c r="E12" s="330">
        <v>0</v>
      </c>
      <c r="F12" s="330">
        <v>15</v>
      </c>
      <c r="G12" s="377">
        <f t="shared" si="0"/>
        <v>15</v>
      </c>
      <c r="H12" s="537">
        <f>G12/G31</f>
        <v>0.0004943153732081067</v>
      </c>
    </row>
    <row r="13" spans="1:8" ht="15" customHeight="1">
      <c r="A13" s="512">
        <v>6</v>
      </c>
      <c r="B13" s="521" t="s">
        <v>9</v>
      </c>
      <c r="C13" s="515">
        <v>0</v>
      </c>
      <c r="D13" s="334">
        <v>0</v>
      </c>
      <c r="E13" s="333">
        <v>0</v>
      </c>
      <c r="F13" s="333">
        <v>4807</v>
      </c>
      <c r="G13" s="377">
        <f t="shared" si="0"/>
        <v>4807</v>
      </c>
      <c r="H13" s="537">
        <f>G13/G31</f>
        <v>0.1584115999340913</v>
      </c>
    </row>
    <row r="14" spans="1:8" ht="25.5" customHeight="1">
      <c r="A14" s="512">
        <v>7</v>
      </c>
      <c r="B14" s="521" t="s">
        <v>10</v>
      </c>
      <c r="C14" s="515">
        <v>0</v>
      </c>
      <c r="D14" s="334">
        <v>0</v>
      </c>
      <c r="E14" s="333">
        <v>0</v>
      </c>
      <c r="F14" s="333">
        <v>5875</v>
      </c>
      <c r="G14" s="377">
        <f t="shared" si="0"/>
        <v>5875</v>
      </c>
      <c r="H14" s="537">
        <f>G14/G31</f>
        <v>0.1936068545065085</v>
      </c>
    </row>
    <row r="15" spans="1:8" ht="15" customHeight="1">
      <c r="A15" s="512">
        <v>8</v>
      </c>
      <c r="B15" s="521" t="s">
        <v>11</v>
      </c>
      <c r="C15" s="515">
        <v>0</v>
      </c>
      <c r="D15" s="334">
        <v>0</v>
      </c>
      <c r="E15" s="334">
        <v>0</v>
      </c>
      <c r="F15" s="333">
        <v>806</v>
      </c>
      <c r="G15" s="377">
        <f t="shared" si="0"/>
        <v>806</v>
      </c>
      <c r="H15" s="537">
        <f>G15/G31</f>
        <v>0.026561212720382272</v>
      </c>
    </row>
    <row r="16" spans="1:8" ht="15" customHeight="1">
      <c r="A16" s="512">
        <v>9</v>
      </c>
      <c r="B16" s="521" t="s">
        <v>12</v>
      </c>
      <c r="C16" s="514">
        <v>0</v>
      </c>
      <c r="D16" s="329">
        <v>0</v>
      </c>
      <c r="E16" s="334">
        <v>323</v>
      </c>
      <c r="F16" s="330">
        <v>1414</v>
      </c>
      <c r="G16" s="377">
        <f t="shared" si="0"/>
        <v>1737</v>
      </c>
      <c r="H16" s="537">
        <f>G16/G31</f>
        <v>0.057241720217498765</v>
      </c>
    </row>
    <row r="17" spans="1:8" ht="15" customHeight="1">
      <c r="A17" s="512">
        <v>10</v>
      </c>
      <c r="B17" s="521" t="s">
        <v>13</v>
      </c>
      <c r="C17" s="514">
        <v>0</v>
      </c>
      <c r="D17" s="329">
        <v>0</v>
      </c>
      <c r="E17" s="330">
        <v>0</v>
      </c>
      <c r="F17" s="330">
        <v>506</v>
      </c>
      <c r="G17" s="376">
        <f t="shared" si="0"/>
        <v>506</v>
      </c>
      <c r="H17" s="537">
        <f>G17/G31</f>
        <v>0.016674905256220136</v>
      </c>
    </row>
    <row r="18" spans="1:8" ht="15" customHeight="1">
      <c r="A18" s="512">
        <v>11</v>
      </c>
      <c r="B18" s="521" t="s">
        <v>14</v>
      </c>
      <c r="C18" s="514">
        <v>0</v>
      </c>
      <c r="D18" s="329">
        <v>0</v>
      </c>
      <c r="E18" s="330">
        <v>0</v>
      </c>
      <c r="F18" s="333">
        <v>1975</v>
      </c>
      <c r="G18" s="377">
        <f t="shared" si="0"/>
        <v>1975</v>
      </c>
      <c r="H18" s="537">
        <f>G18/G31</f>
        <v>0.06508485747240073</v>
      </c>
    </row>
    <row r="19" spans="1:8" ht="15" customHeight="1">
      <c r="A19" s="512">
        <v>12</v>
      </c>
      <c r="B19" s="521" t="s">
        <v>15</v>
      </c>
      <c r="C19" s="514">
        <v>0</v>
      </c>
      <c r="D19" s="329">
        <v>0</v>
      </c>
      <c r="E19" s="330">
        <v>3</v>
      </c>
      <c r="F19" s="330">
        <v>169</v>
      </c>
      <c r="G19" s="376">
        <f t="shared" si="0"/>
        <v>172</v>
      </c>
      <c r="H19" s="537">
        <f>G19/G31</f>
        <v>0.005668149612786291</v>
      </c>
    </row>
    <row r="20" spans="1:8" ht="15" customHeight="1">
      <c r="A20" s="512">
        <v>13</v>
      </c>
      <c r="B20" s="521" t="s">
        <v>16</v>
      </c>
      <c r="C20" s="514">
        <v>0</v>
      </c>
      <c r="D20" s="329">
        <v>0</v>
      </c>
      <c r="E20" s="330">
        <v>0</v>
      </c>
      <c r="F20" s="330">
        <v>1281</v>
      </c>
      <c r="G20" s="376">
        <f t="shared" si="0"/>
        <v>1281</v>
      </c>
      <c r="H20" s="537">
        <f>G20/G31</f>
        <v>0.04221453287197232</v>
      </c>
    </row>
    <row r="21" spans="1:8" ht="15" customHeight="1">
      <c r="A21" s="512">
        <v>14</v>
      </c>
      <c r="B21" s="521" t="s">
        <v>17</v>
      </c>
      <c r="C21" s="514">
        <v>0</v>
      </c>
      <c r="D21" s="329">
        <v>0</v>
      </c>
      <c r="E21" s="330">
        <v>0</v>
      </c>
      <c r="F21" s="330">
        <v>478</v>
      </c>
      <c r="G21" s="376">
        <f t="shared" si="0"/>
        <v>478</v>
      </c>
      <c r="H21" s="537">
        <f>G21/G31</f>
        <v>0.01575218322623167</v>
      </c>
    </row>
    <row r="22" spans="1:8" ht="15" customHeight="1">
      <c r="A22" s="513">
        <v>15</v>
      </c>
      <c r="B22" s="521" t="s">
        <v>18</v>
      </c>
      <c r="C22" s="514">
        <v>0</v>
      </c>
      <c r="D22" s="329">
        <v>0</v>
      </c>
      <c r="E22" s="330">
        <v>0</v>
      </c>
      <c r="F22" s="330">
        <v>2188</v>
      </c>
      <c r="G22" s="376">
        <f t="shared" si="0"/>
        <v>2188</v>
      </c>
      <c r="H22" s="537">
        <f>G22/G31</f>
        <v>0.07210413577195585</v>
      </c>
    </row>
    <row r="23" spans="1:8" ht="15" customHeight="1">
      <c r="A23" s="512">
        <v>16</v>
      </c>
      <c r="B23" s="521" t="s">
        <v>19</v>
      </c>
      <c r="C23" s="514">
        <v>0</v>
      </c>
      <c r="D23" s="329">
        <v>0</v>
      </c>
      <c r="E23" s="330">
        <v>0</v>
      </c>
      <c r="F23" s="330">
        <v>3444</v>
      </c>
      <c r="G23" s="377">
        <f t="shared" si="0"/>
        <v>3444</v>
      </c>
      <c r="H23" s="537">
        <f>G23/G31</f>
        <v>0.11349480968858132</v>
      </c>
    </row>
    <row r="24" spans="1:8" ht="23.25" customHeight="1">
      <c r="A24" s="513">
        <v>17</v>
      </c>
      <c r="B24" s="521" t="s">
        <v>20</v>
      </c>
      <c r="C24" s="514">
        <v>0</v>
      </c>
      <c r="D24" s="329">
        <v>0</v>
      </c>
      <c r="E24" s="330">
        <v>0</v>
      </c>
      <c r="F24" s="330">
        <v>382</v>
      </c>
      <c r="G24" s="376">
        <f t="shared" si="0"/>
        <v>382</v>
      </c>
      <c r="H24" s="537">
        <f>G24/G31</f>
        <v>0.012588564837699786</v>
      </c>
    </row>
    <row r="25" spans="1:8" ht="15" customHeight="1">
      <c r="A25" s="512">
        <v>18</v>
      </c>
      <c r="B25" s="522" t="s">
        <v>21</v>
      </c>
      <c r="C25" s="514">
        <v>0</v>
      </c>
      <c r="D25" s="329">
        <v>0</v>
      </c>
      <c r="E25" s="330">
        <v>2</v>
      </c>
      <c r="F25" s="330">
        <v>294</v>
      </c>
      <c r="G25" s="376">
        <f t="shared" si="0"/>
        <v>296</v>
      </c>
      <c r="H25" s="537">
        <f>G25/G31</f>
        <v>0.00975449003130664</v>
      </c>
    </row>
    <row r="26" spans="1:8" ht="15" customHeight="1">
      <c r="A26" s="512">
        <v>19</v>
      </c>
      <c r="B26" s="522" t="s">
        <v>22</v>
      </c>
      <c r="C26" s="514">
        <v>0</v>
      </c>
      <c r="D26" s="329">
        <v>0</v>
      </c>
      <c r="E26" s="330">
        <v>1</v>
      </c>
      <c r="F26" s="330">
        <v>622</v>
      </c>
      <c r="G26" s="376">
        <f t="shared" si="0"/>
        <v>623</v>
      </c>
      <c r="H26" s="537">
        <f>G26/G31</f>
        <v>0.02053056516724337</v>
      </c>
    </row>
    <row r="27" spans="1:8" ht="35.25" customHeight="1">
      <c r="A27" s="513">
        <v>20</v>
      </c>
      <c r="B27" s="522" t="s">
        <v>23</v>
      </c>
      <c r="C27" s="514">
        <v>0</v>
      </c>
      <c r="D27" s="329">
        <v>0</v>
      </c>
      <c r="E27" s="330">
        <v>0</v>
      </c>
      <c r="F27" s="330">
        <v>52</v>
      </c>
      <c r="G27" s="378">
        <f t="shared" si="0"/>
        <v>52</v>
      </c>
      <c r="H27" s="537">
        <f>G27/G31</f>
        <v>0.0017136266271214368</v>
      </c>
    </row>
    <row r="28" spans="1:8" ht="15" customHeight="1">
      <c r="A28" s="512">
        <v>21</v>
      </c>
      <c r="B28" s="522" t="s">
        <v>24</v>
      </c>
      <c r="C28" s="514">
        <v>0</v>
      </c>
      <c r="D28" s="329">
        <v>0</v>
      </c>
      <c r="E28" s="330">
        <v>0</v>
      </c>
      <c r="F28" s="330">
        <v>20</v>
      </c>
      <c r="G28" s="376">
        <f t="shared" si="0"/>
        <v>20</v>
      </c>
      <c r="H28" s="537">
        <f>G28/G31</f>
        <v>0.0006590871642774757</v>
      </c>
    </row>
    <row r="29" spans="1:8" ht="15" customHeight="1">
      <c r="A29" s="512">
        <v>22</v>
      </c>
      <c r="B29" s="523" t="s">
        <v>25</v>
      </c>
      <c r="C29" s="514">
        <v>0</v>
      </c>
      <c r="D29" s="329">
        <v>0</v>
      </c>
      <c r="E29" s="330">
        <v>0</v>
      </c>
      <c r="F29" s="330">
        <v>2451</v>
      </c>
      <c r="G29" s="376">
        <f t="shared" si="0"/>
        <v>2451</v>
      </c>
      <c r="H29" s="537">
        <f>G29/G31</f>
        <v>0.08077113198220465</v>
      </c>
    </row>
    <row r="30" spans="1:8" ht="15" customHeight="1" thickBot="1">
      <c r="A30" s="552">
        <v>23</v>
      </c>
      <c r="B30" s="524" t="s">
        <v>85</v>
      </c>
      <c r="C30" s="516">
        <v>0</v>
      </c>
      <c r="D30" s="335">
        <v>0</v>
      </c>
      <c r="E30" s="336">
        <v>0</v>
      </c>
      <c r="F30" s="336">
        <v>23</v>
      </c>
      <c r="G30" s="378">
        <f t="shared" si="0"/>
        <v>23</v>
      </c>
      <c r="H30" s="551">
        <f>G30/G31</f>
        <v>0.000757950238919097</v>
      </c>
    </row>
    <row r="31" spans="1:8" ht="15" customHeight="1" thickBot="1">
      <c r="A31" s="548"/>
      <c r="B31" s="525" t="s">
        <v>26</v>
      </c>
      <c r="C31" s="517">
        <f aca="true" t="shared" si="1" ref="C31:H31">SUM(C8:C30)</f>
        <v>0</v>
      </c>
      <c r="D31" s="337">
        <f t="shared" si="1"/>
        <v>0</v>
      </c>
      <c r="E31" s="337">
        <f t="shared" si="1"/>
        <v>329</v>
      </c>
      <c r="F31" s="337">
        <f t="shared" si="1"/>
        <v>30016</v>
      </c>
      <c r="G31" s="338">
        <f t="shared" si="1"/>
        <v>30345</v>
      </c>
      <c r="H31" s="549">
        <f t="shared" si="1"/>
        <v>0.9999999999999999</v>
      </c>
    </row>
    <row r="32" spans="1:7" ht="12.75">
      <c r="A32" s="348"/>
      <c r="B32" s="349"/>
      <c r="C32" s="350"/>
      <c r="D32" s="350"/>
      <c r="E32" s="350"/>
      <c r="F32" s="350"/>
      <c r="G32" s="350"/>
    </row>
    <row r="33" spans="1:7" ht="12.75">
      <c r="A33" s="339" t="s">
        <v>111</v>
      </c>
      <c r="B33" s="339"/>
      <c r="E33" s="351"/>
      <c r="F33" s="343" t="s">
        <v>34</v>
      </c>
      <c r="G33" s="351"/>
    </row>
    <row r="34" spans="1:7" ht="12.75">
      <c r="A34" s="675">
        <v>41558</v>
      </c>
      <c r="B34" s="675"/>
      <c r="E34" s="351"/>
      <c r="F34" s="343" t="s">
        <v>35</v>
      </c>
      <c r="G34" s="351"/>
    </row>
  </sheetData>
  <sheetProtection/>
  <mergeCells count="8">
    <mergeCell ref="A34:B34"/>
    <mergeCell ref="A3:G4"/>
    <mergeCell ref="I6:I7"/>
    <mergeCell ref="H6:H7"/>
    <mergeCell ref="C5:H5"/>
    <mergeCell ref="C6:D6"/>
    <mergeCell ref="E6:F6"/>
    <mergeCell ref="G6:G7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.421875" style="327" customWidth="1"/>
    <col min="2" max="2" width="50.14062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1" spans="1:2" ht="12.75">
      <c r="A1" s="326" t="s">
        <v>116</v>
      </c>
      <c r="B1" s="346"/>
    </row>
    <row r="2" spans="1:7" ht="26.25" customHeight="1">
      <c r="A2" s="626" t="s">
        <v>117</v>
      </c>
      <c r="B2" s="626"/>
      <c r="C2" s="626"/>
      <c r="D2" s="626"/>
      <c r="E2" s="626"/>
      <c r="F2" s="626"/>
      <c r="G2" s="626"/>
    </row>
    <row r="3" spans="1:7" ht="11.25" customHeight="1" thickBot="1">
      <c r="A3" s="648"/>
      <c r="B3" s="648"/>
      <c r="C3" s="648"/>
      <c r="D3" s="648"/>
      <c r="E3" s="648"/>
      <c r="F3" s="648"/>
      <c r="G3" s="648"/>
    </row>
    <row r="4" spans="1:8" ht="14.25" customHeight="1">
      <c r="A4" s="509"/>
      <c r="B4" s="518"/>
      <c r="C4" s="665" t="s">
        <v>27</v>
      </c>
      <c r="D4" s="666"/>
      <c r="E4" s="666"/>
      <c r="F4" s="666"/>
      <c r="G4" s="666"/>
      <c r="H4" s="667"/>
    </row>
    <row r="5" spans="1:9" ht="13.5" customHeight="1">
      <c r="A5" s="510" t="s">
        <v>3</v>
      </c>
      <c r="B5" s="519" t="s">
        <v>31</v>
      </c>
      <c r="C5" s="658" t="s">
        <v>28</v>
      </c>
      <c r="D5" s="668"/>
      <c r="E5" s="669" t="s">
        <v>29</v>
      </c>
      <c r="F5" s="669"/>
      <c r="G5" s="670" t="s">
        <v>26</v>
      </c>
      <c r="H5" s="682" t="s">
        <v>75</v>
      </c>
      <c r="I5" s="681"/>
    </row>
    <row r="6" spans="1:9" ht="24" customHeight="1" thickBot="1">
      <c r="A6" s="531"/>
      <c r="B6" s="532"/>
      <c r="C6" s="545" t="s">
        <v>33</v>
      </c>
      <c r="D6" s="535" t="s">
        <v>32</v>
      </c>
      <c r="E6" s="535" t="s">
        <v>32</v>
      </c>
      <c r="F6" s="535" t="s">
        <v>30</v>
      </c>
      <c r="G6" s="671"/>
      <c r="H6" s="683"/>
      <c r="I6" s="681"/>
    </row>
    <row r="7" spans="1:8" ht="14.25" customHeight="1">
      <c r="A7" s="526">
        <v>1</v>
      </c>
      <c r="B7" s="527" t="s">
        <v>4</v>
      </c>
      <c r="C7" s="528">
        <v>0</v>
      </c>
      <c r="D7" s="529">
        <v>0</v>
      </c>
      <c r="E7" s="530">
        <v>0</v>
      </c>
      <c r="F7" s="530">
        <v>170</v>
      </c>
      <c r="G7" s="375">
        <f>SUM(C7+D7+E7+F7)</f>
        <v>170</v>
      </c>
      <c r="H7" s="550">
        <f>G7/G30</f>
        <v>0.005752961082910322</v>
      </c>
    </row>
    <row r="8" spans="1:8" ht="14.25" customHeight="1">
      <c r="A8" s="512">
        <v>2</v>
      </c>
      <c r="B8" s="521" t="s">
        <v>5</v>
      </c>
      <c r="C8" s="514">
        <v>0</v>
      </c>
      <c r="D8" s="329">
        <v>0</v>
      </c>
      <c r="E8" s="330">
        <v>0</v>
      </c>
      <c r="F8" s="330">
        <v>74</v>
      </c>
      <c r="G8" s="376">
        <f>SUM(C8+D8+E8+F8)</f>
        <v>74</v>
      </c>
      <c r="H8" s="537">
        <f>G8/G30</f>
        <v>0.0025042301184433164</v>
      </c>
    </row>
    <row r="9" spans="1:8" ht="12.75" customHeight="1">
      <c r="A9" s="512">
        <v>3</v>
      </c>
      <c r="B9" s="521" t="s">
        <v>6</v>
      </c>
      <c r="C9" s="514">
        <v>12</v>
      </c>
      <c r="D9" s="329">
        <v>0</v>
      </c>
      <c r="E9" s="330">
        <v>0</v>
      </c>
      <c r="F9" s="330">
        <v>2865</v>
      </c>
      <c r="G9" s="376">
        <f aca="true" t="shared" si="0" ref="G9:G29">SUM(C9+D9+E9+F9)</f>
        <v>2877</v>
      </c>
      <c r="H9" s="537">
        <f>G9/G30</f>
        <v>0.09736040609137056</v>
      </c>
    </row>
    <row r="10" spans="1:8" ht="15" customHeight="1">
      <c r="A10" s="512">
        <v>4</v>
      </c>
      <c r="B10" s="521" t="s">
        <v>7</v>
      </c>
      <c r="C10" s="515">
        <v>0</v>
      </c>
      <c r="D10" s="331">
        <v>0</v>
      </c>
      <c r="E10" s="332">
        <v>0</v>
      </c>
      <c r="F10" s="333">
        <v>19</v>
      </c>
      <c r="G10" s="377">
        <f t="shared" si="0"/>
        <v>19</v>
      </c>
      <c r="H10" s="537">
        <f>G10/G30</f>
        <v>0.0006429780033840948</v>
      </c>
    </row>
    <row r="11" spans="1:8" ht="24" customHeight="1">
      <c r="A11" s="512">
        <v>5</v>
      </c>
      <c r="B11" s="521" t="s">
        <v>8</v>
      </c>
      <c r="C11" s="514">
        <v>0</v>
      </c>
      <c r="D11" s="329">
        <v>0</v>
      </c>
      <c r="E11" s="330">
        <v>0</v>
      </c>
      <c r="F11" s="330">
        <v>11</v>
      </c>
      <c r="G11" s="377">
        <f t="shared" si="0"/>
        <v>11</v>
      </c>
      <c r="H11" s="537">
        <f>G11/G30</f>
        <v>0.0003722504230118443</v>
      </c>
    </row>
    <row r="12" spans="1:8" ht="12.75" customHeight="1">
      <c r="A12" s="512">
        <v>6</v>
      </c>
      <c r="B12" s="521" t="s">
        <v>9</v>
      </c>
      <c r="C12" s="515">
        <v>0</v>
      </c>
      <c r="D12" s="334">
        <v>0</v>
      </c>
      <c r="E12" s="333">
        <v>8</v>
      </c>
      <c r="F12" s="333">
        <v>4552</v>
      </c>
      <c r="G12" s="377">
        <f t="shared" si="0"/>
        <v>4560</v>
      </c>
      <c r="H12" s="537">
        <f>G12/G30</f>
        <v>0.15431472081218275</v>
      </c>
    </row>
    <row r="13" spans="1:8" ht="24" customHeight="1">
      <c r="A13" s="512">
        <v>7</v>
      </c>
      <c r="B13" s="521" t="s">
        <v>10</v>
      </c>
      <c r="C13" s="515">
        <v>0</v>
      </c>
      <c r="D13" s="334">
        <v>0</v>
      </c>
      <c r="E13" s="333">
        <v>8</v>
      </c>
      <c r="F13" s="333">
        <v>5581</v>
      </c>
      <c r="G13" s="377">
        <f t="shared" si="0"/>
        <v>5589</v>
      </c>
      <c r="H13" s="537">
        <f>G13/G30</f>
        <v>0.18913705583756346</v>
      </c>
    </row>
    <row r="14" spans="1:8" ht="14.25" customHeight="1">
      <c r="A14" s="512">
        <v>8</v>
      </c>
      <c r="B14" s="521" t="s">
        <v>11</v>
      </c>
      <c r="C14" s="515">
        <v>0</v>
      </c>
      <c r="D14" s="334">
        <v>0</v>
      </c>
      <c r="E14" s="334">
        <v>1</v>
      </c>
      <c r="F14" s="333">
        <v>786</v>
      </c>
      <c r="G14" s="377">
        <f t="shared" si="0"/>
        <v>787</v>
      </c>
      <c r="H14" s="537">
        <f>G14/G30</f>
        <v>0.026632825719120134</v>
      </c>
    </row>
    <row r="15" spans="1:8" ht="24" customHeight="1">
      <c r="A15" s="512">
        <v>9</v>
      </c>
      <c r="B15" s="521" t="s">
        <v>12</v>
      </c>
      <c r="C15" s="514">
        <v>0</v>
      </c>
      <c r="D15" s="329">
        <v>0</v>
      </c>
      <c r="E15" s="334">
        <v>281</v>
      </c>
      <c r="F15" s="330">
        <v>1435</v>
      </c>
      <c r="G15" s="377">
        <f t="shared" si="0"/>
        <v>1716</v>
      </c>
      <c r="H15" s="537">
        <f>G15/G30</f>
        <v>0.058071065989847716</v>
      </c>
    </row>
    <row r="16" spans="1:8" ht="15" customHeight="1">
      <c r="A16" s="512">
        <v>10</v>
      </c>
      <c r="B16" s="521" t="s">
        <v>13</v>
      </c>
      <c r="C16" s="514">
        <v>0</v>
      </c>
      <c r="D16" s="329">
        <v>0</v>
      </c>
      <c r="E16" s="330">
        <v>0</v>
      </c>
      <c r="F16" s="330">
        <v>482</v>
      </c>
      <c r="G16" s="376">
        <f t="shared" si="0"/>
        <v>482</v>
      </c>
      <c r="H16" s="537">
        <f>G16/G30</f>
        <v>0.01631133671742809</v>
      </c>
    </row>
    <row r="17" spans="1:8" ht="15" customHeight="1">
      <c r="A17" s="512">
        <v>11</v>
      </c>
      <c r="B17" s="521" t="s">
        <v>14</v>
      </c>
      <c r="C17" s="514">
        <v>0</v>
      </c>
      <c r="D17" s="329">
        <v>0</v>
      </c>
      <c r="E17" s="330">
        <v>0</v>
      </c>
      <c r="F17" s="333">
        <v>2063</v>
      </c>
      <c r="G17" s="377">
        <f t="shared" si="0"/>
        <v>2063</v>
      </c>
      <c r="H17" s="537">
        <f>G17/G30</f>
        <v>0.06981387478849407</v>
      </c>
    </row>
    <row r="18" spans="1:8" ht="15" customHeight="1">
      <c r="A18" s="512">
        <v>12</v>
      </c>
      <c r="B18" s="521" t="s">
        <v>15</v>
      </c>
      <c r="C18" s="514">
        <v>0</v>
      </c>
      <c r="D18" s="329">
        <v>0</v>
      </c>
      <c r="E18" s="330">
        <v>2</v>
      </c>
      <c r="F18" s="330">
        <v>166</v>
      </c>
      <c r="G18" s="376">
        <f t="shared" si="0"/>
        <v>168</v>
      </c>
      <c r="H18" s="537">
        <f>G18/G30</f>
        <v>0.005685279187817259</v>
      </c>
    </row>
    <row r="19" spans="1:8" ht="15" customHeight="1">
      <c r="A19" s="512">
        <v>13</v>
      </c>
      <c r="B19" s="521" t="s">
        <v>16</v>
      </c>
      <c r="C19" s="514">
        <v>0</v>
      </c>
      <c r="D19" s="329">
        <v>0</v>
      </c>
      <c r="E19" s="330">
        <v>0</v>
      </c>
      <c r="F19" s="330">
        <v>1268</v>
      </c>
      <c r="G19" s="376">
        <f t="shared" si="0"/>
        <v>1268</v>
      </c>
      <c r="H19" s="537">
        <f>G19/G30</f>
        <v>0.042910321489001695</v>
      </c>
    </row>
    <row r="20" spans="1:8" ht="14.25" customHeight="1">
      <c r="A20" s="512">
        <v>14</v>
      </c>
      <c r="B20" s="521" t="s">
        <v>17</v>
      </c>
      <c r="C20" s="514">
        <v>0</v>
      </c>
      <c r="D20" s="329">
        <v>0</v>
      </c>
      <c r="E20" s="330">
        <v>0</v>
      </c>
      <c r="F20" s="330">
        <v>472</v>
      </c>
      <c r="G20" s="376">
        <f t="shared" si="0"/>
        <v>472</v>
      </c>
      <c r="H20" s="537">
        <f>G20/G30</f>
        <v>0.015972927241962774</v>
      </c>
    </row>
    <row r="21" spans="1:8" ht="13.5" customHeight="1">
      <c r="A21" s="513">
        <v>15</v>
      </c>
      <c r="B21" s="521" t="s">
        <v>18</v>
      </c>
      <c r="C21" s="514">
        <v>0</v>
      </c>
      <c r="D21" s="329">
        <v>0</v>
      </c>
      <c r="E21" s="330">
        <v>0</v>
      </c>
      <c r="F21" s="330">
        <v>2275</v>
      </c>
      <c r="G21" s="376">
        <f t="shared" si="0"/>
        <v>2275</v>
      </c>
      <c r="H21" s="537">
        <f>G21/G30</f>
        <v>0.07698815566835872</v>
      </c>
    </row>
    <row r="22" spans="1:8" ht="15" customHeight="1">
      <c r="A22" s="512">
        <v>16</v>
      </c>
      <c r="B22" s="521" t="s">
        <v>19</v>
      </c>
      <c r="C22" s="514">
        <v>0</v>
      </c>
      <c r="D22" s="329">
        <v>0</v>
      </c>
      <c r="E22" s="330">
        <v>0</v>
      </c>
      <c r="F22" s="330">
        <v>3244</v>
      </c>
      <c r="G22" s="377">
        <f t="shared" si="0"/>
        <v>3244</v>
      </c>
      <c r="H22" s="537">
        <f>G22/G30</f>
        <v>0.10978003384094755</v>
      </c>
    </row>
    <row r="23" spans="1:8" ht="24" customHeight="1">
      <c r="A23" s="513">
        <v>17</v>
      </c>
      <c r="B23" s="521" t="s">
        <v>20</v>
      </c>
      <c r="C23" s="514">
        <v>0</v>
      </c>
      <c r="D23" s="329">
        <v>0</v>
      </c>
      <c r="E23" s="330">
        <v>0</v>
      </c>
      <c r="F23" s="330">
        <v>383</v>
      </c>
      <c r="G23" s="376">
        <f t="shared" si="0"/>
        <v>383</v>
      </c>
      <c r="H23" s="537">
        <f>G23/G30</f>
        <v>0.012961082910321489</v>
      </c>
    </row>
    <row r="24" spans="1:8" ht="17.25" customHeight="1">
      <c r="A24" s="512">
        <v>18</v>
      </c>
      <c r="B24" s="522" t="s">
        <v>21</v>
      </c>
      <c r="C24" s="514">
        <v>0</v>
      </c>
      <c r="D24" s="329">
        <v>0</v>
      </c>
      <c r="E24" s="330">
        <v>2</v>
      </c>
      <c r="F24" s="330">
        <v>282</v>
      </c>
      <c r="G24" s="376">
        <f t="shared" si="0"/>
        <v>284</v>
      </c>
      <c r="H24" s="537">
        <f>G24/G30</f>
        <v>0.00961082910321489</v>
      </c>
    </row>
    <row r="25" spans="1:8" ht="15.75" customHeight="1">
      <c r="A25" s="512">
        <v>19</v>
      </c>
      <c r="B25" s="522" t="s">
        <v>22</v>
      </c>
      <c r="C25" s="514">
        <v>0</v>
      </c>
      <c r="D25" s="329">
        <v>0</v>
      </c>
      <c r="E25" s="330">
        <v>1</v>
      </c>
      <c r="F25" s="330">
        <v>598</v>
      </c>
      <c r="G25" s="376">
        <f t="shared" si="0"/>
        <v>599</v>
      </c>
      <c r="H25" s="537">
        <f>G25/G30</f>
        <v>0.02027072758037225</v>
      </c>
    </row>
    <row r="26" spans="1:8" ht="24" customHeight="1">
      <c r="A26" s="513">
        <v>20</v>
      </c>
      <c r="B26" s="522" t="s">
        <v>23</v>
      </c>
      <c r="C26" s="514">
        <v>0</v>
      </c>
      <c r="D26" s="329">
        <v>0</v>
      </c>
      <c r="E26" s="330">
        <v>0</v>
      </c>
      <c r="F26" s="330">
        <v>45</v>
      </c>
      <c r="G26" s="378">
        <f t="shared" si="0"/>
        <v>45</v>
      </c>
      <c r="H26" s="537">
        <f>G26/G30</f>
        <v>0.0015228426395939086</v>
      </c>
    </row>
    <row r="27" spans="1:8" ht="16.5" customHeight="1">
      <c r="A27" s="512">
        <v>21</v>
      </c>
      <c r="B27" s="522" t="s">
        <v>24</v>
      </c>
      <c r="C27" s="514">
        <v>0</v>
      </c>
      <c r="D27" s="329">
        <v>0</v>
      </c>
      <c r="E27" s="330">
        <v>0</v>
      </c>
      <c r="F27" s="330">
        <v>21</v>
      </c>
      <c r="G27" s="376">
        <f t="shared" si="0"/>
        <v>21</v>
      </c>
      <c r="H27" s="537">
        <f>G27/G30</f>
        <v>0.0007106598984771574</v>
      </c>
    </row>
    <row r="28" spans="1:8" ht="14.25" customHeight="1">
      <c r="A28" s="512">
        <v>22</v>
      </c>
      <c r="B28" s="523" t="s">
        <v>25</v>
      </c>
      <c r="C28" s="514">
        <v>0</v>
      </c>
      <c r="D28" s="329">
        <v>0</v>
      </c>
      <c r="E28" s="330">
        <v>0</v>
      </c>
      <c r="F28" s="330">
        <v>2439</v>
      </c>
      <c r="G28" s="376">
        <f t="shared" si="0"/>
        <v>2439</v>
      </c>
      <c r="H28" s="537">
        <f>G28/G30</f>
        <v>0.08253807106598984</v>
      </c>
    </row>
    <row r="29" spans="1:8" ht="15" customHeight="1" thickBot="1">
      <c r="A29" s="552">
        <v>23</v>
      </c>
      <c r="B29" s="524" t="s">
        <v>85</v>
      </c>
      <c r="C29" s="516">
        <v>0</v>
      </c>
      <c r="D29" s="335">
        <v>0</v>
      </c>
      <c r="E29" s="336">
        <v>0</v>
      </c>
      <c r="F29" s="336">
        <v>4</v>
      </c>
      <c r="G29" s="378">
        <f t="shared" si="0"/>
        <v>4</v>
      </c>
      <c r="H29" s="551">
        <f>G29/G30</f>
        <v>0.00013536379018612522</v>
      </c>
    </row>
    <row r="30" spans="1:8" ht="24" customHeight="1" thickBot="1">
      <c r="A30" s="548"/>
      <c r="B30" s="525" t="s">
        <v>26</v>
      </c>
      <c r="C30" s="517">
        <f aca="true" t="shared" si="1" ref="C30:H30">SUM(C7:C29)</f>
        <v>12</v>
      </c>
      <c r="D30" s="337">
        <f t="shared" si="1"/>
        <v>0</v>
      </c>
      <c r="E30" s="337">
        <f t="shared" si="1"/>
        <v>303</v>
      </c>
      <c r="F30" s="337">
        <f t="shared" si="1"/>
        <v>29235</v>
      </c>
      <c r="G30" s="338">
        <f t="shared" si="1"/>
        <v>29550</v>
      </c>
      <c r="H30" s="549">
        <f t="shared" si="1"/>
        <v>1.0000000000000002</v>
      </c>
    </row>
    <row r="31" spans="1:7" ht="12.75">
      <c r="A31" s="348"/>
      <c r="B31" s="349"/>
      <c r="C31" s="350"/>
      <c r="D31" s="350"/>
      <c r="E31" s="350"/>
      <c r="F31" s="350"/>
      <c r="G31" s="350"/>
    </row>
    <row r="32" spans="1:7" ht="12.75">
      <c r="A32" s="339" t="s">
        <v>111</v>
      </c>
      <c r="B32" s="339"/>
      <c r="E32" s="351"/>
      <c r="F32" s="343" t="s">
        <v>34</v>
      </c>
      <c r="G32" s="351"/>
    </row>
    <row r="33" spans="1:7" ht="12.75">
      <c r="A33" s="675">
        <v>41582</v>
      </c>
      <c r="B33" s="675"/>
      <c r="E33" s="351"/>
      <c r="F33" s="343" t="s">
        <v>35</v>
      </c>
      <c r="G33" s="351"/>
    </row>
  </sheetData>
  <sheetProtection/>
  <mergeCells count="8">
    <mergeCell ref="A33:B33"/>
    <mergeCell ref="A2:G3"/>
    <mergeCell ref="I5:I6"/>
    <mergeCell ref="H5:H6"/>
    <mergeCell ref="C4:H4"/>
    <mergeCell ref="C5:D5"/>
    <mergeCell ref="E5:F5"/>
    <mergeCell ref="G5:G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5.421875" style="327" customWidth="1"/>
    <col min="2" max="2" width="48.42187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1" spans="1:2" ht="12.75">
      <c r="A1" s="326" t="s">
        <v>118</v>
      </c>
      <c r="B1" s="346"/>
    </row>
    <row r="2" spans="1:7" ht="30.75" customHeight="1">
      <c r="A2" s="626" t="s">
        <v>119</v>
      </c>
      <c r="B2" s="626"/>
      <c r="C2" s="626"/>
      <c r="D2" s="626"/>
      <c r="E2" s="626"/>
      <c r="F2" s="626"/>
      <c r="G2" s="626"/>
    </row>
    <row r="3" spans="1:7" ht="11.25" customHeight="1" thickBot="1">
      <c r="A3" s="648"/>
      <c r="B3" s="648"/>
      <c r="C3" s="648"/>
      <c r="D3" s="648"/>
      <c r="E3" s="648"/>
      <c r="F3" s="648"/>
      <c r="G3" s="648"/>
    </row>
    <row r="4" spans="1:8" ht="14.25" customHeight="1">
      <c r="A4" s="540"/>
      <c r="B4" s="518"/>
      <c r="C4" s="665" t="s">
        <v>27</v>
      </c>
      <c r="D4" s="666"/>
      <c r="E4" s="666"/>
      <c r="F4" s="666"/>
      <c r="G4" s="666"/>
      <c r="H4" s="667"/>
    </row>
    <row r="5" spans="1:9" ht="13.5" customHeight="1">
      <c r="A5" s="541" t="s">
        <v>3</v>
      </c>
      <c r="B5" s="519" t="s">
        <v>31</v>
      </c>
      <c r="C5" s="657" t="s">
        <v>28</v>
      </c>
      <c r="D5" s="658"/>
      <c r="E5" s="659" t="s">
        <v>29</v>
      </c>
      <c r="F5" s="660"/>
      <c r="G5" s="678" t="s">
        <v>26</v>
      </c>
      <c r="H5" s="663" t="s">
        <v>75</v>
      </c>
      <c r="I5" s="681"/>
    </row>
    <row r="6" spans="1:9" ht="24" customHeight="1" thickBot="1">
      <c r="A6" s="532"/>
      <c r="B6" s="532"/>
      <c r="C6" s="533" t="s">
        <v>33</v>
      </c>
      <c r="D6" s="534" t="s">
        <v>32</v>
      </c>
      <c r="E6" s="534" t="s">
        <v>32</v>
      </c>
      <c r="F6" s="535" t="s">
        <v>30</v>
      </c>
      <c r="G6" s="679"/>
      <c r="H6" s="664"/>
      <c r="I6" s="681"/>
    </row>
    <row r="7" spans="1:8" ht="14.25" customHeight="1">
      <c r="A7" s="546">
        <v>1</v>
      </c>
      <c r="B7" s="527" t="s">
        <v>4</v>
      </c>
      <c r="C7" s="528">
        <v>0</v>
      </c>
      <c r="D7" s="529">
        <v>0</v>
      </c>
      <c r="E7" s="530">
        <v>0</v>
      </c>
      <c r="F7" s="530">
        <v>168</v>
      </c>
      <c r="G7" s="375">
        <f>SUM(C7+D7+E7+F7)</f>
        <v>168</v>
      </c>
      <c r="H7" s="550">
        <f>G7/G30</f>
        <v>0.0062008636917284905</v>
      </c>
    </row>
    <row r="8" spans="1:8" ht="14.25" customHeight="1">
      <c r="A8" s="542">
        <v>2</v>
      </c>
      <c r="B8" s="521" t="s">
        <v>5</v>
      </c>
      <c r="C8" s="514">
        <v>0</v>
      </c>
      <c r="D8" s="329">
        <v>0</v>
      </c>
      <c r="E8" s="330">
        <v>0</v>
      </c>
      <c r="F8" s="330">
        <v>72</v>
      </c>
      <c r="G8" s="376">
        <f>SUM(C8+D8+E8+F8)</f>
        <v>72</v>
      </c>
      <c r="H8" s="537">
        <f>G8/G30</f>
        <v>0.0026575130107407818</v>
      </c>
    </row>
    <row r="9" spans="1:8" ht="12.75" customHeight="1">
      <c r="A9" s="542">
        <v>3</v>
      </c>
      <c r="B9" s="521" t="s">
        <v>6</v>
      </c>
      <c r="C9" s="514">
        <v>18</v>
      </c>
      <c r="D9" s="329">
        <v>0</v>
      </c>
      <c r="E9" s="330">
        <v>0</v>
      </c>
      <c r="F9" s="330">
        <f>2929+5</f>
        <v>2934</v>
      </c>
      <c r="G9" s="376">
        <f aca="true" t="shared" si="0" ref="G9:G29">SUM(C9+D9+E9+F9)</f>
        <v>2952</v>
      </c>
      <c r="H9" s="537">
        <f>G9/G30</f>
        <v>0.10895803344037205</v>
      </c>
    </row>
    <row r="10" spans="1:8" ht="15" customHeight="1">
      <c r="A10" s="542">
        <v>4</v>
      </c>
      <c r="B10" s="521" t="s">
        <v>7</v>
      </c>
      <c r="C10" s="515">
        <v>0</v>
      </c>
      <c r="D10" s="331">
        <v>0</v>
      </c>
      <c r="E10" s="332">
        <v>0</v>
      </c>
      <c r="F10" s="333">
        <v>26</v>
      </c>
      <c r="G10" s="377">
        <f t="shared" si="0"/>
        <v>26</v>
      </c>
      <c r="H10" s="537">
        <f>G10/G30</f>
        <v>0.0009596574761008378</v>
      </c>
    </row>
    <row r="11" spans="1:8" ht="24" customHeight="1">
      <c r="A11" s="542">
        <v>5</v>
      </c>
      <c r="B11" s="521" t="s">
        <v>8</v>
      </c>
      <c r="C11" s="514">
        <v>0</v>
      </c>
      <c r="D11" s="329">
        <v>0</v>
      </c>
      <c r="E11" s="330">
        <v>0</v>
      </c>
      <c r="F11" s="330">
        <v>11</v>
      </c>
      <c r="G11" s="377">
        <f t="shared" si="0"/>
        <v>11</v>
      </c>
      <c r="H11" s="537">
        <f>G11/G30</f>
        <v>0.0004060089321965083</v>
      </c>
    </row>
    <row r="12" spans="1:8" ht="12.75" customHeight="1">
      <c r="A12" s="542">
        <v>6</v>
      </c>
      <c r="B12" s="521" t="s">
        <v>9</v>
      </c>
      <c r="C12" s="515">
        <v>0</v>
      </c>
      <c r="D12" s="334">
        <v>0</v>
      </c>
      <c r="E12" s="333">
        <v>10</v>
      </c>
      <c r="F12" s="333">
        <f>4510+10</f>
        <v>4520</v>
      </c>
      <c r="G12" s="377">
        <f t="shared" si="0"/>
        <v>4530</v>
      </c>
      <c r="H12" s="537">
        <f>G12/G30</f>
        <v>0.16720186025910752</v>
      </c>
    </row>
    <row r="13" spans="1:8" ht="24" customHeight="1">
      <c r="A13" s="542">
        <v>7</v>
      </c>
      <c r="B13" s="521" t="s">
        <v>10</v>
      </c>
      <c r="C13" s="515">
        <v>0</v>
      </c>
      <c r="D13" s="334">
        <v>1</v>
      </c>
      <c r="E13" s="333">
        <v>7</v>
      </c>
      <c r="F13" s="333">
        <f>5512+3</f>
        <v>5515</v>
      </c>
      <c r="G13" s="377">
        <f t="shared" si="0"/>
        <v>5523</v>
      </c>
      <c r="H13" s="537">
        <f>G13/G30</f>
        <v>0.20385339386557413</v>
      </c>
    </row>
    <row r="14" spans="1:8" ht="14.25" customHeight="1">
      <c r="A14" s="542">
        <v>8</v>
      </c>
      <c r="B14" s="521" t="s">
        <v>11</v>
      </c>
      <c r="C14" s="515">
        <v>0</v>
      </c>
      <c r="D14" s="334">
        <v>0</v>
      </c>
      <c r="E14" s="334">
        <v>0</v>
      </c>
      <c r="F14" s="333">
        <f>794+1</f>
        <v>795</v>
      </c>
      <c r="G14" s="377">
        <f t="shared" si="0"/>
        <v>795</v>
      </c>
      <c r="H14" s="537">
        <f>G14/G30</f>
        <v>0.029343372826929465</v>
      </c>
    </row>
    <row r="15" spans="1:8" ht="24" customHeight="1">
      <c r="A15" s="542">
        <v>9</v>
      </c>
      <c r="B15" s="521" t="s">
        <v>12</v>
      </c>
      <c r="C15" s="514">
        <v>0</v>
      </c>
      <c r="D15" s="329">
        <v>1</v>
      </c>
      <c r="E15" s="334">
        <v>476</v>
      </c>
      <c r="F15" s="330">
        <f>1435+7</f>
        <v>1442</v>
      </c>
      <c r="G15" s="377">
        <f t="shared" si="0"/>
        <v>1919</v>
      </c>
      <c r="H15" s="537">
        <f>G15/G30</f>
        <v>0.07083010371682723</v>
      </c>
    </row>
    <row r="16" spans="1:8" ht="15" customHeight="1">
      <c r="A16" s="542">
        <v>10</v>
      </c>
      <c r="B16" s="521" t="s">
        <v>13</v>
      </c>
      <c r="C16" s="514">
        <v>0</v>
      </c>
      <c r="D16" s="329">
        <v>0</v>
      </c>
      <c r="E16" s="330">
        <v>0</v>
      </c>
      <c r="F16" s="330">
        <f>456+1</f>
        <v>457</v>
      </c>
      <c r="G16" s="376">
        <f t="shared" si="0"/>
        <v>457</v>
      </c>
      <c r="H16" s="537">
        <f>G16/G30</f>
        <v>0.016867825637618572</v>
      </c>
    </row>
    <row r="17" spans="1:8" ht="15" customHeight="1">
      <c r="A17" s="542">
        <v>11</v>
      </c>
      <c r="B17" s="521" t="s">
        <v>14</v>
      </c>
      <c r="C17" s="514">
        <v>0</v>
      </c>
      <c r="D17" s="329">
        <v>0</v>
      </c>
      <c r="E17" s="330">
        <v>0</v>
      </c>
      <c r="F17" s="333">
        <f>2126+1</f>
        <v>2127</v>
      </c>
      <c r="G17" s="377">
        <f t="shared" si="0"/>
        <v>2127</v>
      </c>
      <c r="H17" s="537">
        <f>G17/G30</f>
        <v>0.07850736352563392</v>
      </c>
    </row>
    <row r="18" spans="1:8" ht="15" customHeight="1">
      <c r="A18" s="542">
        <v>12</v>
      </c>
      <c r="B18" s="521" t="s">
        <v>15</v>
      </c>
      <c r="C18" s="514">
        <v>0</v>
      </c>
      <c r="D18" s="329">
        <v>0</v>
      </c>
      <c r="E18" s="330">
        <v>0</v>
      </c>
      <c r="F18" s="330">
        <f>157+1</f>
        <v>158</v>
      </c>
      <c r="G18" s="376">
        <f t="shared" si="0"/>
        <v>158</v>
      </c>
      <c r="H18" s="537">
        <f>G18/G30</f>
        <v>0.005831764662458938</v>
      </c>
    </row>
    <row r="19" spans="1:8" ht="15" customHeight="1">
      <c r="A19" s="542">
        <v>13</v>
      </c>
      <c r="B19" s="521" t="s">
        <v>16</v>
      </c>
      <c r="C19" s="514">
        <v>0</v>
      </c>
      <c r="D19" s="329">
        <v>0</v>
      </c>
      <c r="E19" s="330">
        <v>0</v>
      </c>
      <c r="F19" s="330">
        <f>1260+3</f>
        <v>1263</v>
      </c>
      <c r="G19" s="376">
        <f t="shared" si="0"/>
        <v>1263</v>
      </c>
      <c r="H19" s="537">
        <f>G19/G30</f>
        <v>0.04661720739674455</v>
      </c>
    </row>
    <row r="20" spans="1:8" ht="14.25" customHeight="1">
      <c r="A20" s="542">
        <v>14</v>
      </c>
      <c r="B20" s="521" t="s">
        <v>17</v>
      </c>
      <c r="C20" s="514">
        <v>0</v>
      </c>
      <c r="D20" s="329">
        <v>0</v>
      </c>
      <c r="E20" s="330">
        <v>0</v>
      </c>
      <c r="F20" s="330">
        <f>485+2</f>
        <v>487</v>
      </c>
      <c r="G20" s="376">
        <f t="shared" si="0"/>
        <v>487</v>
      </c>
      <c r="H20" s="537">
        <f>G20/G30</f>
        <v>0.017975122725427232</v>
      </c>
    </row>
    <row r="21" spans="1:8" ht="13.5" customHeight="1">
      <c r="A21" s="543">
        <v>15</v>
      </c>
      <c r="B21" s="521" t="s">
        <v>18</v>
      </c>
      <c r="C21" s="514">
        <v>0</v>
      </c>
      <c r="D21" s="329">
        <v>0</v>
      </c>
      <c r="E21" s="330">
        <v>0</v>
      </c>
      <c r="F21" s="330">
        <f>1266+2</f>
        <v>1268</v>
      </c>
      <c r="G21" s="376">
        <f t="shared" si="0"/>
        <v>1268</v>
      </c>
      <c r="H21" s="537">
        <f>G21/G30</f>
        <v>0.046801756911379326</v>
      </c>
    </row>
    <row r="22" spans="1:8" ht="15" customHeight="1">
      <c r="A22" s="542">
        <v>16</v>
      </c>
      <c r="B22" s="521" t="s">
        <v>19</v>
      </c>
      <c r="C22" s="514">
        <v>0</v>
      </c>
      <c r="D22" s="329">
        <v>0</v>
      </c>
      <c r="E22" s="330">
        <v>0</v>
      </c>
      <c r="F22" s="330">
        <f>1605+1</f>
        <v>1606</v>
      </c>
      <c r="G22" s="377">
        <f t="shared" si="0"/>
        <v>1606</v>
      </c>
      <c r="H22" s="537">
        <f>G22/G30</f>
        <v>0.059277304100690216</v>
      </c>
    </row>
    <row r="23" spans="1:8" ht="24" customHeight="1">
      <c r="A23" s="543">
        <v>17</v>
      </c>
      <c r="B23" s="521" t="s">
        <v>20</v>
      </c>
      <c r="C23" s="514">
        <v>0</v>
      </c>
      <c r="D23" s="329">
        <v>0</v>
      </c>
      <c r="E23" s="330">
        <v>0</v>
      </c>
      <c r="F23" s="330">
        <f>382+1</f>
        <v>383</v>
      </c>
      <c r="G23" s="376">
        <f t="shared" si="0"/>
        <v>383</v>
      </c>
      <c r="H23" s="537">
        <f>G23/G30</f>
        <v>0.014136492821023881</v>
      </c>
    </row>
    <row r="24" spans="1:8" ht="17.25" customHeight="1">
      <c r="A24" s="542">
        <v>18</v>
      </c>
      <c r="B24" s="522" t="s">
        <v>21</v>
      </c>
      <c r="C24" s="514">
        <v>0</v>
      </c>
      <c r="D24" s="329">
        <v>0</v>
      </c>
      <c r="E24" s="330">
        <v>2</v>
      </c>
      <c r="F24" s="330">
        <f>258+1</f>
        <v>259</v>
      </c>
      <c r="G24" s="376">
        <f t="shared" si="0"/>
        <v>261</v>
      </c>
      <c r="H24" s="537">
        <f>G24/G30</f>
        <v>0.009633484663935333</v>
      </c>
    </row>
    <row r="25" spans="1:8" ht="15.75" customHeight="1">
      <c r="A25" s="542">
        <v>19</v>
      </c>
      <c r="B25" s="522" t="s">
        <v>22</v>
      </c>
      <c r="C25" s="514">
        <v>0</v>
      </c>
      <c r="D25" s="329">
        <v>0</v>
      </c>
      <c r="E25" s="330">
        <v>4</v>
      </c>
      <c r="F25" s="330">
        <f>429</f>
        <v>429</v>
      </c>
      <c r="G25" s="376">
        <f t="shared" si="0"/>
        <v>433</v>
      </c>
      <c r="H25" s="537">
        <f>G25/G30</f>
        <v>0.015981987967371644</v>
      </c>
    </row>
    <row r="26" spans="1:8" ht="24" customHeight="1">
      <c r="A26" s="543">
        <v>20</v>
      </c>
      <c r="B26" s="522" t="s">
        <v>23</v>
      </c>
      <c r="C26" s="514">
        <v>0</v>
      </c>
      <c r="D26" s="329">
        <v>0</v>
      </c>
      <c r="E26" s="330">
        <v>0</v>
      </c>
      <c r="F26" s="330">
        <v>41</v>
      </c>
      <c r="G26" s="378">
        <f t="shared" si="0"/>
        <v>41</v>
      </c>
      <c r="H26" s="537">
        <f>G26/G30</f>
        <v>0.0015133060200051673</v>
      </c>
    </row>
    <row r="27" spans="1:8" ht="16.5" customHeight="1">
      <c r="A27" s="542">
        <v>21</v>
      </c>
      <c r="B27" s="522" t="s">
        <v>24</v>
      </c>
      <c r="C27" s="514">
        <v>0</v>
      </c>
      <c r="D27" s="329">
        <v>0</v>
      </c>
      <c r="E27" s="330">
        <v>0</v>
      </c>
      <c r="F27" s="330">
        <v>20</v>
      </c>
      <c r="G27" s="376">
        <f t="shared" si="0"/>
        <v>20</v>
      </c>
      <c r="H27" s="537">
        <f>G27/G30</f>
        <v>0.0007381980585391061</v>
      </c>
    </row>
    <row r="28" spans="1:8" ht="14.25" customHeight="1">
      <c r="A28" s="542">
        <v>22</v>
      </c>
      <c r="B28" s="523" t="s">
        <v>25</v>
      </c>
      <c r="C28" s="514">
        <v>0</v>
      </c>
      <c r="D28" s="329">
        <v>1</v>
      </c>
      <c r="E28" s="330">
        <v>5</v>
      </c>
      <c r="F28" s="330">
        <f>2577+10</f>
        <v>2587</v>
      </c>
      <c r="G28" s="376">
        <f t="shared" si="0"/>
        <v>2593</v>
      </c>
      <c r="H28" s="537">
        <f>G28/G30</f>
        <v>0.0957073782895951</v>
      </c>
    </row>
    <row r="29" spans="1:8" ht="15" customHeight="1" thickBot="1">
      <c r="A29" s="547">
        <v>23</v>
      </c>
      <c r="B29" s="524" t="s">
        <v>85</v>
      </c>
      <c r="C29" s="553">
        <v>0</v>
      </c>
      <c r="D29" s="352">
        <v>0</v>
      </c>
      <c r="E29" s="353">
        <v>0</v>
      </c>
      <c r="F29" s="353">
        <v>0</v>
      </c>
      <c r="G29" s="555">
        <f t="shared" si="0"/>
        <v>0</v>
      </c>
      <c r="H29" s="551">
        <f>G29/G30</f>
        <v>0</v>
      </c>
    </row>
    <row r="30" spans="1:8" ht="24" customHeight="1" thickBot="1">
      <c r="A30" s="556"/>
      <c r="B30" s="525" t="s">
        <v>26</v>
      </c>
      <c r="C30" s="554">
        <f aca="true" t="shared" si="1" ref="C30:H30">SUM(C7:C29)</f>
        <v>18</v>
      </c>
      <c r="D30" s="354">
        <f t="shared" si="1"/>
        <v>3</v>
      </c>
      <c r="E30" s="354">
        <f t="shared" si="1"/>
        <v>504</v>
      </c>
      <c r="F30" s="354">
        <f t="shared" si="1"/>
        <v>26568</v>
      </c>
      <c r="G30" s="355">
        <f t="shared" si="1"/>
        <v>27093</v>
      </c>
      <c r="H30" s="549">
        <f t="shared" si="1"/>
        <v>1</v>
      </c>
    </row>
    <row r="31" spans="1:7" ht="12.75">
      <c r="A31" s="348"/>
      <c r="B31" s="349"/>
      <c r="C31" s="350"/>
      <c r="D31" s="350"/>
      <c r="E31" s="350"/>
      <c r="F31" s="350"/>
      <c r="G31" s="350"/>
    </row>
    <row r="32" spans="1:7" ht="12.75">
      <c r="A32" s="339" t="s">
        <v>111</v>
      </c>
      <c r="B32" s="339"/>
      <c r="E32" s="351"/>
      <c r="F32" s="343" t="s">
        <v>34</v>
      </c>
      <c r="G32" s="351"/>
    </row>
    <row r="33" spans="1:7" ht="12.75">
      <c r="A33" s="684">
        <v>41626</v>
      </c>
      <c r="B33" s="684"/>
      <c r="E33" s="351"/>
      <c r="F33" s="343" t="s">
        <v>35</v>
      </c>
      <c r="G33" s="351"/>
    </row>
    <row r="34" ht="12.75">
      <c r="B34" s="356"/>
    </row>
  </sheetData>
  <sheetProtection/>
  <mergeCells count="8">
    <mergeCell ref="A33:B33"/>
    <mergeCell ref="A2:G3"/>
    <mergeCell ref="I5:I6"/>
    <mergeCell ref="H5:H6"/>
    <mergeCell ref="C4:H4"/>
    <mergeCell ref="C5:D5"/>
    <mergeCell ref="E5:F5"/>
    <mergeCell ref="G5:G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421875" style="327" customWidth="1"/>
    <col min="2" max="2" width="51.0039062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1" spans="1:2" ht="12.75">
      <c r="A1" s="326" t="s">
        <v>120</v>
      </c>
      <c r="B1" s="346"/>
    </row>
    <row r="2" spans="1:7" ht="30.75" customHeight="1">
      <c r="A2" s="626" t="s">
        <v>96</v>
      </c>
      <c r="B2" s="626"/>
      <c r="C2" s="626"/>
      <c r="D2" s="626"/>
      <c r="E2" s="626"/>
      <c r="F2" s="626"/>
      <c r="G2" s="626"/>
    </row>
    <row r="3" spans="1:7" ht="11.25" customHeight="1" thickBot="1">
      <c r="A3" s="672"/>
      <c r="B3" s="648"/>
      <c r="C3" s="648"/>
      <c r="D3" s="648"/>
      <c r="E3" s="648"/>
      <c r="F3" s="648"/>
      <c r="G3" s="648"/>
    </row>
    <row r="4" spans="1:8" ht="14.25" customHeight="1">
      <c r="A4" s="540"/>
      <c r="B4" s="518"/>
      <c r="C4" s="673" t="s">
        <v>27</v>
      </c>
      <c r="D4" s="673"/>
      <c r="E4" s="673"/>
      <c r="F4" s="673"/>
      <c r="G4" s="673"/>
      <c r="H4" s="674"/>
    </row>
    <row r="5" spans="1:9" ht="13.5" customHeight="1">
      <c r="A5" s="541" t="s">
        <v>3</v>
      </c>
      <c r="B5" s="519" t="s">
        <v>31</v>
      </c>
      <c r="C5" s="657" t="s">
        <v>28</v>
      </c>
      <c r="D5" s="658"/>
      <c r="E5" s="659" t="s">
        <v>29</v>
      </c>
      <c r="F5" s="660"/>
      <c r="G5" s="678" t="s">
        <v>26</v>
      </c>
      <c r="H5" s="663" t="s">
        <v>75</v>
      </c>
      <c r="I5" s="681"/>
    </row>
    <row r="6" spans="1:9" ht="24" customHeight="1" thickBot="1">
      <c r="A6" s="532"/>
      <c r="B6" s="532"/>
      <c r="C6" s="533" t="s">
        <v>33</v>
      </c>
      <c r="D6" s="534" t="s">
        <v>32</v>
      </c>
      <c r="E6" s="534" t="s">
        <v>32</v>
      </c>
      <c r="F6" s="535" t="s">
        <v>30</v>
      </c>
      <c r="G6" s="679"/>
      <c r="H6" s="664"/>
      <c r="I6" s="681"/>
    </row>
    <row r="7" spans="1:8" ht="14.25" customHeight="1">
      <c r="A7" s="546">
        <v>1</v>
      </c>
      <c r="B7" s="527" t="s">
        <v>4</v>
      </c>
      <c r="C7" s="528">
        <v>0</v>
      </c>
      <c r="D7" s="529">
        <v>0</v>
      </c>
      <c r="E7" s="530">
        <v>0</v>
      </c>
      <c r="F7" s="530">
        <v>154</v>
      </c>
      <c r="G7" s="375">
        <f>SUM(C7+D7+E7+F7)</f>
        <v>154</v>
      </c>
      <c r="H7" s="550">
        <f>G7/G30</f>
        <v>0.004717703642434825</v>
      </c>
    </row>
    <row r="8" spans="1:8" ht="14.25" customHeight="1">
      <c r="A8" s="542">
        <v>2</v>
      </c>
      <c r="B8" s="521" t="s">
        <v>5</v>
      </c>
      <c r="C8" s="514">
        <v>0</v>
      </c>
      <c r="D8" s="329">
        <v>0</v>
      </c>
      <c r="E8" s="330">
        <v>0</v>
      </c>
      <c r="F8" s="330">
        <v>66</v>
      </c>
      <c r="G8" s="376">
        <f>SUM(C8+D8+E8+F8)</f>
        <v>66</v>
      </c>
      <c r="H8" s="537">
        <f>G8/G30</f>
        <v>0.0020218729896149252</v>
      </c>
    </row>
    <row r="9" spans="1:8" ht="12.75" customHeight="1">
      <c r="A9" s="542">
        <v>3</v>
      </c>
      <c r="B9" s="521" t="s">
        <v>6</v>
      </c>
      <c r="C9" s="514">
        <v>33</v>
      </c>
      <c r="D9" s="329">
        <v>0</v>
      </c>
      <c r="E9" s="330">
        <v>0</v>
      </c>
      <c r="F9" s="330">
        <f>2847+3</f>
        <v>2850</v>
      </c>
      <c r="G9" s="376">
        <f aca="true" t="shared" si="0" ref="G9:G29">SUM(C9+D9+E9+F9)</f>
        <v>2883</v>
      </c>
      <c r="H9" s="537">
        <f>G9/G30</f>
        <v>0.08831908831908832</v>
      </c>
    </row>
    <row r="10" spans="1:8" ht="15" customHeight="1">
      <c r="A10" s="542">
        <v>4</v>
      </c>
      <c r="B10" s="521" t="s">
        <v>7</v>
      </c>
      <c r="C10" s="515">
        <v>0</v>
      </c>
      <c r="D10" s="331">
        <v>0</v>
      </c>
      <c r="E10" s="332">
        <v>0</v>
      </c>
      <c r="F10" s="333">
        <v>42</v>
      </c>
      <c r="G10" s="377">
        <f t="shared" si="0"/>
        <v>42</v>
      </c>
      <c r="H10" s="537">
        <f>G10/G30</f>
        <v>0.0012866464479367706</v>
      </c>
    </row>
    <row r="11" spans="1:8" ht="24" customHeight="1">
      <c r="A11" s="542">
        <v>5</v>
      </c>
      <c r="B11" s="521" t="s">
        <v>8</v>
      </c>
      <c r="C11" s="514">
        <v>0</v>
      </c>
      <c r="D11" s="329">
        <v>0</v>
      </c>
      <c r="E11" s="330">
        <v>0</v>
      </c>
      <c r="F11" s="330">
        <v>10</v>
      </c>
      <c r="G11" s="377">
        <f t="shared" si="0"/>
        <v>10</v>
      </c>
      <c r="H11" s="537">
        <f>G11/G30</f>
        <v>0.00030634439236589775</v>
      </c>
    </row>
    <row r="12" spans="1:8" ht="12.75" customHeight="1">
      <c r="A12" s="542">
        <v>6</v>
      </c>
      <c r="B12" s="521" t="s">
        <v>9</v>
      </c>
      <c r="C12" s="515">
        <v>0</v>
      </c>
      <c r="D12" s="334">
        <v>3</v>
      </c>
      <c r="E12" s="333">
        <v>15</v>
      </c>
      <c r="F12" s="333">
        <f>4320+8</f>
        <v>4328</v>
      </c>
      <c r="G12" s="377">
        <f t="shared" si="0"/>
        <v>4346</v>
      </c>
      <c r="H12" s="537">
        <f>G12/G30</f>
        <v>0.13313727292221916</v>
      </c>
    </row>
    <row r="13" spans="1:8" ht="24" customHeight="1">
      <c r="A13" s="542">
        <v>7</v>
      </c>
      <c r="B13" s="521" t="s">
        <v>10</v>
      </c>
      <c r="C13" s="515">
        <v>0</v>
      </c>
      <c r="D13" s="334">
        <v>182</v>
      </c>
      <c r="E13" s="333">
        <v>22</v>
      </c>
      <c r="F13" s="333">
        <f>5433+2</f>
        <v>5435</v>
      </c>
      <c r="G13" s="377">
        <f t="shared" si="0"/>
        <v>5639</v>
      </c>
      <c r="H13" s="537">
        <f>G13/G30</f>
        <v>0.17274760285512974</v>
      </c>
    </row>
    <row r="14" spans="1:8" ht="14.25" customHeight="1">
      <c r="A14" s="542">
        <v>8</v>
      </c>
      <c r="B14" s="521" t="s">
        <v>11</v>
      </c>
      <c r="C14" s="515">
        <v>0</v>
      </c>
      <c r="D14" s="334">
        <v>41</v>
      </c>
      <c r="E14" s="334">
        <v>2</v>
      </c>
      <c r="F14" s="333">
        <f>1165+1</f>
        <v>1166</v>
      </c>
      <c r="G14" s="377">
        <f t="shared" si="0"/>
        <v>1209</v>
      </c>
      <c r="H14" s="537">
        <f>G14/G30</f>
        <v>0.037037037037037035</v>
      </c>
    </row>
    <row r="15" spans="1:8" ht="24" customHeight="1">
      <c r="A15" s="542">
        <v>9</v>
      </c>
      <c r="B15" s="521" t="s">
        <v>12</v>
      </c>
      <c r="C15" s="514">
        <v>0</v>
      </c>
      <c r="D15" s="329">
        <v>2146</v>
      </c>
      <c r="E15" s="334">
        <v>3393</v>
      </c>
      <c r="F15" s="330">
        <f>2438+5</f>
        <v>2443</v>
      </c>
      <c r="G15" s="377">
        <f t="shared" si="0"/>
        <v>7982</v>
      </c>
      <c r="H15" s="537">
        <f>G15/G30</f>
        <v>0.24452409398645958</v>
      </c>
    </row>
    <row r="16" spans="1:8" ht="15" customHeight="1">
      <c r="A16" s="542">
        <v>10</v>
      </c>
      <c r="B16" s="521" t="s">
        <v>13</v>
      </c>
      <c r="C16" s="514">
        <v>0</v>
      </c>
      <c r="D16" s="329">
        <v>0</v>
      </c>
      <c r="E16" s="330">
        <v>1</v>
      </c>
      <c r="F16" s="330">
        <v>446</v>
      </c>
      <c r="G16" s="376">
        <f t="shared" si="0"/>
        <v>447</v>
      </c>
      <c r="H16" s="537">
        <f>G16/G30</f>
        <v>0.01369359433875563</v>
      </c>
    </row>
    <row r="17" spans="1:8" ht="15" customHeight="1">
      <c r="A17" s="542">
        <v>11</v>
      </c>
      <c r="B17" s="521" t="s">
        <v>14</v>
      </c>
      <c r="C17" s="514">
        <v>0</v>
      </c>
      <c r="D17" s="329">
        <v>1</v>
      </c>
      <c r="E17" s="330">
        <v>0</v>
      </c>
      <c r="F17" s="333">
        <f>2048+1</f>
        <v>2049</v>
      </c>
      <c r="G17" s="377">
        <f t="shared" si="0"/>
        <v>2050</v>
      </c>
      <c r="H17" s="537">
        <f>G17/G30</f>
        <v>0.06280060043500904</v>
      </c>
    </row>
    <row r="18" spans="1:8" ht="15" customHeight="1">
      <c r="A18" s="542">
        <v>12</v>
      </c>
      <c r="B18" s="521" t="s">
        <v>15</v>
      </c>
      <c r="C18" s="514">
        <v>0</v>
      </c>
      <c r="D18" s="329">
        <v>13</v>
      </c>
      <c r="E18" s="330">
        <v>7</v>
      </c>
      <c r="F18" s="330">
        <f>178</f>
        <v>178</v>
      </c>
      <c r="G18" s="376">
        <f t="shared" si="0"/>
        <v>198</v>
      </c>
      <c r="H18" s="537">
        <f>G18/G30</f>
        <v>0.006065618968844775</v>
      </c>
    </row>
    <row r="19" spans="1:8" ht="15" customHeight="1">
      <c r="A19" s="542">
        <v>13</v>
      </c>
      <c r="B19" s="521" t="s">
        <v>16</v>
      </c>
      <c r="C19" s="514">
        <v>0</v>
      </c>
      <c r="D19" s="329">
        <v>2</v>
      </c>
      <c r="E19" s="330">
        <v>0</v>
      </c>
      <c r="F19" s="330">
        <f>1199+3</f>
        <v>1202</v>
      </c>
      <c r="G19" s="376">
        <f t="shared" si="0"/>
        <v>1204</v>
      </c>
      <c r="H19" s="537">
        <f>G19/G30</f>
        <v>0.03688386484085409</v>
      </c>
    </row>
    <row r="20" spans="1:8" ht="14.25" customHeight="1">
      <c r="A20" s="542">
        <v>14</v>
      </c>
      <c r="B20" s="521" t="s">
        <v>17</v>
      </c>
      <c r="C20" s="514">
        <v>0</v>
      </c>
      <c r="D20" s="329">
        <v>66</v>
      </c>
      <c r="E20" s="330">
        <v>9</v>
      </c>
      <c r="F20" s="330">
        <v>663</v>
      </c>
      <c r="G20" s="376">
        <f t="shared" si="0"/>
        <v>738</v>
      </c>
      <c r="H20" s="537">
        <f>G20/G30</f>
        <v>0.022608216156603255</v>
      </c>
    </row>
    <row r="21" spans="1:8" ht="13.5" customHeight="1">
      <c r="A21" s="543">
        <v>15</v>
      </c>
      <c r="B21" s="521" t="s">
        <v>18</v>
      </c>
      <c r="C21" s="514">
        <v>0</v>
      </c>
      <c r="D21" s="329">
        <v>13</v>
      </c>
      <c r="E21" s="330">
        <v>0</v>
      </c>
      <c r="F21" s="330">
        <f>1101+2</f>
        <v>1103</v>
      </c>
      <c r="G21" s="376">
        <f t="shared" si="0"/>
        <v>1116</v>
      </c>
      <c r="H21" s="537">
        <f>G21/G30</f>
        <v>0.03418803418803419</v>
      </c>
    </row>
    <row r="22" spans="1:8" ht="15" customHeight="1">
      <c r="A22" s="542">
        <v>16</v>
      </c>
      <c r="B22" s="521" t="s">
        <v>19</v>
      </c>
      <c r="C22" s="514">
        <v>0</v>
      </c>
      <c r="D22" s="329">
        <v>10</v>
      </c>
      <c r="E22" s="330">
        <v>0</v>
      </c>
      <c r="F22" s="330">
        <f>667+1</f>
        <v>668</v>
      </c>
      <c r="G22" s="377">
        <f t="shared" si="0"/>
        <v>678</v>
      </c>
      <c r="H22" s="537">
        <f>G22/G30</f>
        <v>0.020770149802407867</v>
      </c>
    </row>
    <row r="23" spans="1:8" ht="24" customHeight="1">
      <c r="A23" s="543">
        <v>17</v>
      </c>
      <c r="B23" s="521" t="s">
        <v>20</v>
      </c>
      <c r="C23" s="514">
        <v>0</v>
      </c>
      <c r="D23" s="329">
        <v>0</v>
      </c>
      <c r="E23" s="330">
        <v>1</v>
      </c>
      <c r="F23" s="330">
        <f>390+1</f>
        <v>391</v>
      </c>
      <c r="G23" s="376">
        <f t="shared" si="0"/>
        <v>392</v>
      </c>
      <c r="H23" s="537">
        <f>G23/G30</f>
        <v>0.012008700180743192</v>
      </c>
    </row>
    <row r="24" spans="1:8" ht="17.25" customHeight="1">
      <c r="A24" s="542">
        <v>18</v>
      </c>
      <c r="B24" s="522" t="s">
        <v>21</v>
      </c>
      <c r="C24" s="514">
        <v>0</v>
      </c>
      <c r="D24" s="329">
        <v>49</v>
      </c>
      <c r="E24" s="330">
        <v>5</v>
      </c>
      <c r="F24" s="330">
        <v>355</v>
      </c>
      <c r="G24" s="376">
        <f t="shared" si="0"/>
        <v>409</v>
      </c>
      <c r="H24" s="537">
        <f>G24/G30</f>
        <v>0.012529485647765218</v>
      </c>
    </row>
    <row r="25" spans="1:8" ht="15.75" customHeight="1">
      <c r="A25" s="542">
        <v>19</v>
      </c>
      <c r="B25" s="522" t="s">
        <v>22</v>
      </c>
      <c r="C25" s="514">
        <v>0</v>
      </c>
      <c r="D25" s="329">
        <v>5</v>
      </c>
      <c r="E25" s="330">
        <v>12</v>
      </c>
      <c r="F25" s="330">
        <v>487</v>
      </c>
      <c r="G25" s="376">
        <f t="shared" si="0"/>
        <v>504</v>
      </c>
      <c r="H25" s="537">
        <f>G25/G30</f>
        <v>0.015439757375241246</v>
      </c>
    </row>
    <row r="26" spans="1:8" ht="24" customHeight="1">
      <c r="A26" s="543">
        <v>20</v>
      </c>
      <c r="B26" s="522" t="s">
        <v>23</v>
      </c>
      <c r="C26" s="514">
        <v>0</v>
      </c>
      <c r="D26" s="329">
        <v>0</v>
      </c>
      <c r="E26" s="330">
        <v>0</v>
      </c>
      <c r="F26" s="330">
        <v>41</v>
      </c>
      <c r="G26" s="378">
        <f t="shared" si="0"/>
        <v>41</v>
      </c>
      <c r="H26" s="537">
        <f>G26/G30</f>
        <v>0.0012560120087001807</v>
      </c>
    </row>
    <row r="27" spans="1:8" ht="16.5" customHeight="1">
      <c r="A27" s="542">
        <v>21</v>
      </c>
      <c r="B27" s="522" t="s">
        <v>24</v>
      </c>
      <c r="C27" s="514">
        <v>0</v>
      </c>
      <c r="D27" s="329">
        <v>0</v>
      </c>
      <c r="E27" s="330">
        <v>0</v>
      </c>
      <c r="F27" s="330">
        <v>17</v>
      </c>
      <c r="G27" s="376">
        <f t="shared" si="0"/>
        <v>17</v>
      </c>
      <c r="H27" s="537">
        <f>G27/G30</f>
        <v>0.0005207854670220261</v>
      </c>
    </row>
    <row r="28" spans="1:8" ht="14.25" customHeight="1">
      <c r="A28" s="542">
        <v>22</v>
      </c>
      <c r="B28" s="523" t="s">
        <v>25</v>
      </c>
      <c r="C28" s="514">
        <v>0</v>
      </c>
      <c r="D28" s="329">
        <v>0</v>
      </c>
      <c r="E28" s="330">
        <v>12</v>
      </c>
      <c r="F28" s="330">
        <f>2479+10</f>
        <v>2489</v>
      </c>
      <c r="G28" s="376">
        <f t="shared" si="0"/>
        <v>2501</v>
      </c>
      <c r="H28" s="537">
        <f>G28/G30</f>
        <v>0.07661673253071102</v>
      </c>
    </row>
    <row r="29" spans="1:8" ht="15" customHeight="1" thickBot="1">
      <c r="A29" s="547">
        <v>23</v>
      </c>
      <c r="B29" s="524" t="s">
        <v>85</v>
      </c>
      <c r="C29" s="553">
        <v>0</v>
      </c>
      <c r="D29" s="352">
        <v>0</v>
      </c>
      <c r="E29" s="353">
        <v>0</v>
      </c>
      <c r="F29" s="353">
        <v>17</v>
      </c>
      <c r="G29" s="555">
        <f t="shared" si="0"/>
        <v>17</v>
      </c>
      <c r="H29" s="551">
        <f>G29/G30</f>
        <v>0.0005207854670220261</v>
      </c>
    </row>
    <row r="30" spans="1:8" ht="24" customHeight="1" thickBot="1">
      <c r="A30" s="556"/>
      <c r="B30" s="525" t="s">
        <v>26</v>
      </c>
      <c r="C30" s="554">
        <f aca="true" t="shared" si="1" ref="C30:H30">SUM(C7:C29)</f>
        <v>33</v>
      </c>
      <c r="D30" s="354">
        <f t="shared" si="1"/>
        <v>2531</v>
      </c>
      <c r="E30" s="354">
        <f t="shared" si="1"/>
        <v>3479</v>
      </c>
      <c r="F30" s="354">
        <f t="shared" si="1"/>
        <v>26600</v>
      </c>
      <c r="G30" s="355">
        <f t="shared" si="1"/>
        <v>32643</v>
      </c>
      <c r="H30" s="549">
        <f t="shared" si="1"/>
        <v>1</v>
      </c>
    </row>
    <row r="31" spans="1:7" ht="12.75">
      <c r="A31" s="348"/>
      <c r="B31" s="349"/>
      <c r="C31" s="350"/>
      <c r="D31" s="350"/>
      <c r="E31" s="350"/>
      <c r="F31" s="350"/>
      <c r="G31" s="350"/>
    </row>
    <row r="32" spans="1:7" ht="12.75">
      <c r="A32" s="339"/>
      <c r="B32" s="339"/>
      <c r="E32" s="351"/>
      <c r="F32" s="343" t="s">
        <v>34</v>
      </c>
      <c r="G32" s="351"/>
    </row>
    <row r="33" spans="1:7" ht="12.75">
      <c r="A33" s="675">
        <v>41661</v>
      </c>
      <c r="B33" s="675"/>
      <c r="E33" s="351"/>
      <c r="F33" s="343" t="s">
        <v>35</v>
      </c>
      <c r="G33" s="351"/>
    </row>
    <row r="34" ht="12.75">
      <c r="B34" s="356"/>
    </row>
  </sheetData>
  <sheetProtection/>
  <mergeCells count="8">
    <mergeCell ref="A33:B33"/>
    <mergeCell ref="A2:G3"/>
    <mergeCell ref="I5:I6"/>
    <mergeCell ref="H5:H6"/>
    <mergeCell ref="C5:D5"/>
    <mergeCell ref="E5:F5"/>
    <mergeCell ref="G5:G6"/>
    <mergeCell ref="C4:H4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5.421875" style="327" customWidth="1"/>
    <col min="2" max="2" width="47.57421875" style="327" customWidth="1"/>
    <col min="3" max="7" width="12.7109375" style="327" customWidth="1"/>
    <col min="8" max="8" width="13.57421875" style="327" bestFit="1" customWidth="1"/>
    <col min="9" max="16384" width="9.140625" style="327" customWidth="1"/>
  </cols>
  <sheetData>
    <row r="1" spans="1:2" ht="12.75">
      <c r="A1" s="326" t="s">
        <v>122</v>
      </c>
      <c r="B1" s="346"/>
    </row>
    <row r="2" spans="1:8" ht="30.75" customHeight="1">
      <c r="A2" s="626" t="s">
        <v>121</v>
      </c>
      <c r="B2" s="626"/>
      <c r="C2" s="626"/>
      <c r="D2" s="626"/>
      <c r="E2" s="626"/>
      <c r="F2" s="626"/>
      <c r="G2" s="626"/>
      <c r="H2" s="626"/>
    </row>
    <row r="3" spans="1:8" ht="11.25" customHeight="1" thickBot="1">
      <c r="A3" s="672"/>
      <c r="B3" s="672"/>
      <c r="C3" s="672"/>
      <c r="D3" s="672"/>
      <c r="E3" s="672"/>
      <c r="F3" s="672"/>
      <c r="G3" s="672"/>
      <c r="H3" s="672"/>
    </row>
    <row r="4" spans="1:8" ht="14.25" customHeight="1">
      <c r="A4" s="540"/>
      <c r="B4" s="518"/>
      <c r="C4" s="673" t="s">
        <v>27</v>
      </c>
      <c r="D4" s="673"/>
      <c r="E4" s="673"/>
      <c r="F4" s="673"/>
      <c r="G4" s="673"/>
      <c r="H4" s="674"/>
    </row>
    <row r="5" spans="1:9" ht="13.5" customHeight="1">
      <c r="A5" s="541" t="s">
        <v>3</v>
      </c>
      <c r="B5" s="519" t="s">
        <v>31</v>
      </c>
      <c r="C5" s="657" t="s">
        <v>28</v>
      </c>
      <c r="D5" s="658"/>
      <c r="E5" s="659" t="s">
        <v>29</v>
      </c>
      <c r="F5" s="660"/>
      <c r="G5" s="678" t="s">
        <v>26</v>
      </c>
      <c r="H5" s="663" t="s">
        <v>75</v>
      </c>
      <c r="I5" s="681"/>
    </row>
    <row r="6" spans="1:9" ht="24" customHeight="1" thickBot="1">
      <c r="A6" s="532"/>
      <c r="B6" s="532"/>
      <c r="C6" s="533" t="s">
        <v>33</v>
      </c>
      <c r="D6" s="534" t="s">
        <v>32</v>
      </c>
      <c r="E6" s="534" t="s">
        <v>32</v>
      </c>
      <c r="F6" s="535" t="s">
        <v>30</v>
      </c>
      <c r="G6" s="679"/>
      <c r="H6" s="664"/>
      <c r="I6" s="681"/>
    </row>
    <row r="7" spans="1:8" ht="14.25" customHeight="1">
      <c r="A7" s="546">
        <v>1</v>
      </c>
      <c r="B7" s="527" t="s">
        <v>4</v>
      </c>
      <c r="C7" s="565">
        <v>0</v>
      </c>
      <c r="D7" s="566">
        <v>0</v>
      </c>
      <c r="E7" s="567">
        <v>0</v>
      </c>
      <c r="F7" s="567">
        <v>133</v>
      </c>
      <c r="G7" s="375">
        <f>SUM(C7+D7+E7+F7)</f>
        <v>133</v>
      </c>
      <c r="H7" s="550">
        <f>G7/G30</f>
        <v>0.0036223989541344375</v>
      </c>
    </row>
    <row r="8" spans="1:8" ht="14.25" customHeight="1">
      <c r="A8" s="542">
        <v>2</v>
      </c>
      <c r="B8" s="521" t="s">
        <v>5</v>
      </c>
      <c r="C8" s="433">
        <v>0</v>
      </c>
      <c r="D8" s="141">
        <v>0</v>
      </c>
      <c r="E8" s="142">
        <v>0</v>
      </c>
      <c r="F8" s="142">
        <v>62</v>
      </c>
      <c r="G8" s="376">
        <f>SUM(C8+D8+E8+F8)</f>
        <v>62</v>
      </c>
      <c r="H8" s="537">
        <f>G8/G30</f>
        <v>0.0016886371064386099</v>
      </c>
    </row>
    <row r="9" spans="1:8" ht="12.75" customHeight="1">
      <c r="A9" s="542">
        <v>3</v>
      </c>
      <c r="B9" s="521" t="s">
        <v>6</v>
      </c>
      <c r="C9" s="433">
        <v>38</v>
      </c>
      <c r="D9" s="141">
        <v>0</v>
      </c>
      <c r="E9" s="142">
        <v>0</v>
      </c>
      <c r="F9" s="142">
        <f>2823+2</f>
        <v>2825</v>
      </c>
      <c r="G9" s="376">
        <f aca="true" t="shared" si="0" ref="G9:G29">SUM(C9+D9+E9+F9)</f>
        <v>2863</v>
      </c>
      <c r="H9" s="537">
        <f>G9/G30</f>
        <v>0.07797690380215709</v>
      </c>
    </row>
    <row r="10" spans="1:8" ht="15" customHeight="1">
      <c r="A10" s="542">
        <v>4</v>
      </c>
      <c r="B10" s="521" t="s">
        <v>7</v>
      </c>
      <c r="C10" s="434">
        <v>0</v>
      </c>
      <c r="D10" s="143">
        <v>0</v>
      </c>
      <c r="E10" s="144">
        <v>0</v>
      </c>
      <c r="F10" s="132">
        <v>44</v>
      </c>
      <c r="G10" s="377">
        <f t="shared" si="0"/>
        <v>44</v>
      </c>
      <c r="H10" s="537">
        <f>G10/G30</f>
        <v>0.0011983876239241747</v>
      </c>
    </row>
    <row r="11" spans="1:8" ht="24" customHeight="1">
      <c r="A11" s="542">
        <v>5</v>
      </c>
      <c r="B11" s="521" t="s">
        <v>8</v>
      </c>
      <c r="C11" s="433">
        <v>0</v>
      </c>
      <c r="D11" s="141">
        <v>0</v>
      </c>
      <c r="E11" s="142">
        <v>0</v>
      </c>
      <c r="F11" s="142">
        <v>12</v>
      </c>
      <c r="G11" s="377">
        <f t="shared" si="0"/>
        <v>12</v>
      </c>
      <c r="H11" s="537">
        <f>G11/G30</f>
        <v>0.00032683298834295673</v>
      </c>
    </row>
    <row r="12" spans="1:8" ht="12.75" customHeight="1">
      <c r="A12" s="542">
        <v>6</v>
      </c>
      <c r="B12" s="521" t="s">
        <v>9</v>
      </c>
      <c r="C12" s="434">
        <v>0</v>
      </c>
      <c r="D12" s="127">
        <v>3</v>
      </c>
      <c r="E12" s="132">
        <v>17</v>
      </c>
      <c r="F12" s="132">
        <f>4120+3</f>
        <v>4123</v>
      </c>
      <c r="G12" s="377">
        <f t="shared" si="0"/>
        <v>4143</v>
      </c>
      <c r="H12" s="537">
        <f>G12/G30</f>
        <v>0.11283908922540582</v>
      </c>
    </row>
    <row r="13" spans="1:8" ht="24" customHeight="1">
      <c r="A13" s="542">
        <v>7</v>
      </c>
      <c r="B13" s="521" t="s">
        <v>10</v>
      </c>
      <c r="C13" s="434">
        <v>0</v>
      </c>
      <c r="D13" s="127">
        <v>230</v>
      </c>
      <c r="E13" s="132">
        <v>31</v>
      </c>
      <c r="F13" s="132">
        <f>5294+1</f>
        <v>5295</v>
      </c>
      <c r="G13" s="377">
        <f t="shared" si="0"/>
        <v>5556</v>
      </c>
      <c r="H13" s="537">
        <f>G13/G30</f>
        <v>0.15132367360278898</v>
      </c>
    </row>
    <row r="14" spans="1:8" ht="14.25" customHeight="1">
      <c r="A14" s="542">
        <v>8</v>
      </c>
      <c r="B14" s="521" t="s">
        <v>11</v>
      </c>
      <c r="C14" s="434">
        <v>0</v>
      </c>
      <c r="D14" s="127">
        <v>49</v>
      </c>
      <c r="E14" s="127">
        <v>3</v>
      </c>
      <c r="F14" s="132">
        <v>1317</v>
      </c>
      <c r="G14" s="377">
        <f t="shared" si="0"/>
        <v>1369</v>
      </c>
      <c r="H14" s="537">
        <f>G14/G30</f>
        <v>0.03728619675345898</v>
      </c>
    </row>
    <row r="15" spans="1:8" ht="24" customHeight="1">
      <c r="A15" s="542">
        <v>9</v>
      </c>
      <c r="B15" s="521" t="s">
        <v>12</v>
      </c>
      <c r="C15" s="433">
        <v>0</v>
      </c>
      <c r="D15" s="141">
        <v>4037</v>
      </c>
      <c r="E15" s="127">
        <v>4300</v>
      </c>
      <c r="F15" s="142">
        <f>2829+6</f>
        <v>2835</v>
      </c>
      <c r="G15" s="377">
        <f t="shared" si="0"/>
        <v>11172</v>
      </c>
      <c r="H15" s="537">
        <f>G15/G30</f>
        <v>0.3042815121472927</v>
      </c>
    </row>
    <row r="16" spans="1:8" ht="15" customHeight="1">
      <c r="A16" s="542">
        <v>10</v>
      </c>
      <c r="B16" s="521" t="s">
        <v>13</v>
      </c>
      <c r="C16" s="433">
        <v>0</v>
      </c>
      <c r="D16" s="141">
        <v>1</v>
      </c>
      <c r="E16" s="142">
        <v>1</v>
      </c>
      <c r="F16" s="142">
        <v>431</v>
      </c>
      <c r="G16" s="376">
        <f t="shared" si="0"/>
        <v>433</v>
      </c>
      <c r="H16" s="537">
        <f>G16/G30</f>
        <v>0.011793223662708355</v>
      </c>
    </row>
    <row r="17" spans="1:8" ht="15" customHeight="1">
      <c r="A17" s="542">
        <v>11</v>
      </c>
      <c r="B17" s="521" t="s">
        <v>14</v>
      </c>
      <c r="C17" s="433">
        <v>0</v>
      </c>
      <c r="D17" s="141">
        <v>1</v>
      </c>
      <c r="E17" s="142">
        <v>0</v>
      </c>
      <c r="F17" s="132">
        <v>2017</v>
      </c>
      <c r="G17" s="377">
        <f t="shared" si="0"/>
        <v>2018</v>
      </c>
      <c r="H17" s="537">
        <f>G17/G30</f>
        <v>0.05496241420634056</v>
      </c>
    </row>
    <row r="18" spans="1:8" ht="15" customHeight="1">
      <c r="A18" s="542">
        <v>12</v>
      </c>
      <c r="B18" s="521" t="s">
        <v>15</v>
      </c>
      <c r="C18" s="433">
        <v>0</v>
      </c>
      <c r="D18" s="141">
        <v>15</v>
      </c>
      <c r="E18" s="142">
        <v>8</v>
      </c>
      <c r="F18" s="142">
        <v>174</v>
      </c>
      <c r="G18" s="376">
        <f t="shared" si="0"/>
        <v>197</v>
      </c>
      <c r="H18" s="537">
        <f>G18/G30</f>
        <v>0.005365508225296873</v>
      </c>
    </row>
    <row r="19" spans="1:8" ht="15" customHeight="1">
      <c r="A19" s="542">
        <v>13</v>
      </c>
      <c r="B19" s="521" t="s">
        <v>16</v>
      </c>
      <c r="C19" s="433">
        <v>0</v>
      </c>
      <c r="D19" s="141">
        <v>3</v>
      </c>
      <c r="E19" s="142">
        <v>0</v>
      </c>
      <c r="F19" s="142">
        <f>1167+3</f>
        <v>1170</v>
      </c>
      <c r="G19" s="376">
        <f t="shared" si="0"/>
        <v>1173</v>
      </c>
      <c r="H19" s="537">
        <f>G19/G30</f>
        <v>0.03194792461052402</v>
      </c>
    </row>
    <row r="20" spans="1:8" ht="14.25" customHeight="1">
      <c r="A20" s="542">
        <v>14</v>
      </c>
      <c r="B20" s="521" t="s">
        <v>17</v>
      </c>
      <c r="C20" s="433">
        <v>0</v>
      </c>
      <c r="D20" s="141">
        <v>68</v>
      </c>
      <c r="E20" s="142">
        <v>11</v>
      </c>
      <c r="F20" s="142">
        <v>706</v>
      </c>
      <c r="G20" s="376">
        <f t="shared" si="0"/>
        <v>785</v>
      </c>
      <c r="H20" s="537">
        <f>G20/G30</f>
        <v>0.021380324654101755</v>
      </c>
    </row>
    <row r="21" spans="1:8" ht="13.5" customHeight="1">
      <c r="A21" s="543">
        <v>15</v>
      </c>
      <c r="B21" s="521" t="s">
        <v>18</v>
      </c>
      <c r="C21" s="433">
        <v>0</v>
      </c>
      <c r="D21" s="141">
        <v>14</v>
      </c>
      <c r="E21" s="142">
        <v>0</v>
      </c>
      <c r="F21" s="142">
        <f>2279+1</f>
        <v>2280</v>
      </c>
      <c r="G21" s="376">
        <f t="shared" si="0"/>
        <v>2294</v>
      </c>
      <c r="H21" s="537">
        <f>G21/G30</f>
        <v>0.06247957293822857</v>
      </c>
    </row>
    <row r="22" spans="1:8" ht="15" customHeight="1">
      <c r="A22" s="542">
        <v>16</v>
      </c>
      <c r="B22" s="521" t="s">
        <v>19</v>
      </c>
      <c r="C22" s="433">
        <v>0</v>
      </c>
      <c r="D22" s="141">
        <v>11</v>
      </c>
      <c r="E22" s="142">
        <v>1</v>
      </c>
      <c r="F22" s="142">
        <f>534+1</f>
        <v>535</v>
      </c>
      <c r="G22" s="377">
        <f t="shared" si="0"/>
        <v>547</v>
      </c>
      <c r="H22" s="537">
        <f>G22/G30</f>
        <v>0.014898137051966446</v>
      </c>
    </row>
    <row r="23" spans="1:8" ht="24" customHeight="1">
      <c r="A23" s="543">
        <v>17</v>
      </c>
      <c r="B23" s="521" t="s">
        <v>20</v>
      </c>
      <c r="C23" s="433">
        <v>0</v>
      </c>
      <c r="D23" s="141">
        <v>0</v>
      </c>
      <c r="E23" s="142">
        <v>1</v>
      </c>
      <c r="F23" s="142">
        <f>388+1</f>
        <v>389</v>
      </c>
      <c r="G23" s="376">
        <f t="shared" si="0"/>
        <v>390</v>
      </c>
      <c r="H23" s="537">
        <f>G23/G30</f>
        <v>0.010622072121146095</v>
      </c>
    </row>
    <row r="24" spans="1:8" ht="17.25" customHeight="1">
      <c r="A24" s="542">
        <v>18</v>
      </c>
      <c r="B24" s="522" t="s">
        <v>21</v>
      </c>
      <c r="C24" s="433">
        <v>0</v>
      </c>
      <c r="D24" s="141">
        <v>59</v>
      </c>
      <c r="E24" s="142">
        <v>8</v>
      </c>
      <c r="F24" s="142">
        <v>348</v>
      </c>
      <c r="G24" s="376">
        <f t="shared" si="0"/>
        <v>415</v>
      </c>
      <c r="H24" s="537">
        <f>G24/G30</f>
        <v>0.011302974180193921</v>
      </c>
    </row>
    <row r="25" spans="1:8" ht="15.75" customHeight="1">
      <c r="A25" s="542">
        <v>19</v>
      </c>
      <c r="B25" s="522" t="s">
        <v>22</v>
      </c>
      <c r="C25" s="433">
        <v>0</v>
      </c>
      <c r="D25" s="141">
        <v>15</v>
      </c>
      <c r="E25" s="142">
        <v>12</v>
      </c>
      <c r="F25" s="142">
        <v>514</v>
      </c>
      <c r="G25" s="376">
        <f t="shared" si="0"/>
        <v>541</v>
      </c>
      <c r="H25" s="537">
        <f>G25/G30</f>
        <v>0.014734720557794966</v>
      </c>
    </row>
    <row r="26" spans="1:8" ht="24" customHeight="1">
      <c r="A26" s="543">
        <v>20</v>
      </c>
      <c r="B26" s="522" t="s">
        <v>23</v>
      </c>
      <c r="C26" s="433">
        <v>0</v>
      </c>
      <c r="D26" s="141">
        <v>0</v>
      </c>
      <c r="E26" s="142">
        <v>0</v>
      </c>
      <c r="F26" s="142">
        <v>38</v>
      </c>
      <c r="G26" s="378">
        <f t="shared" si="0"/>
        <v>38</v>
      </c>
      <c r="H26" s="537">
        <f>G26/G30</f>
        <v>0.0010349711297526964</v>
      </c>
    </row>
    <row r="27" spans="1:8" ht="16.5" customHeight="1">
      <c r="A27" s="542">
        <v>21</v>
      </c>
      <c r="B27" s="522" t="s">
        <v>24</v>
      </c>
      <c r="C27" s="433">
        <v>0</v>
      </c>
      <c r="D27" s="141">
        <v>0</v>
      </c>
      <c r="E27" s="142">
        <v>0</v>
      </c>
      <c r="F27" s="142">
        <v>16</v>
      </c>
      <c r="G27" s="376">
        <f t="shared" si="0"/>
        <v>16</v>
      </c>
      <c r="H27" s="537">
        <f>G27/G30</f>
        <v>0.000435777317790609</v>
      </c>
    </row>
    <row r="28" spans="1:8" ht="14.25" customHeight="1">
      <c r="A28" s="542">
        <v>22</v>
      </c>
      <c r="B28" s="523" t="s">
        <v>25</v>
      </c>
      <c r="C28" s="433">
        <v>0</v>
      </c>
      <c r="D28" s="141">
        <v>1</v>
      </c>
      <c r="E28" s="142">
        <v>16</v>
      </c>
      <c r="F28" s="142">
        <f>2472+8</f>
        <v>2480</v>
      </c>
      <c r="G28" s="376">
        <f t="shared" si="0"/>
        <v>2497</v>
      </c>
      <c r="H28" s="537">
        <f>G28/G30</f>
        <v>0.06800849765769691</v>
      </c>
    </row>
    <row r="29" spans="1:8" ht="15" customHeight="1" thickBot="1">
      <c r="A29" s="547">
        <v>23</v>
      </c>
      <c r="B29" s="524" t="s">
        <v>85</v>
      </c>
      <c r="C29" s="435">
        <v>0</v>
      </c>
      <c r="D29" s="290">
        <v>0</v>
      </c>
      <c r="E29" s="291">
        <v>0</v>
      </c>
      <c r="F29" s="291">
        <v>18</v>
      </c>
      <c r="G29" s="555">
        <f t="shared" si="0"/>
        <v>18</v>
      </c>
      <c r="H29" s="551">
        <f>G29/G30</f>
        <v>0.0004902494825144351</v>
      </c>
    </row>
    <row r="30" spans="1:8" ht="24" customHeight="1" thickBot="1">
      <c r="A30" s="556"/>
      <c r="B30" s="525" t="s">
        <v>26</v>
      </c>
      <c r="C30" s="554">
        <f aca="true" t="shared" si="1" ref="C30:H30">SUM(C7:C29)</f>
        <v>38</v>
      </c>
      <c r="D30" s="354">
        <f t="shared" si="1"/>
        <v>4507</v>
      </c>
      <c r="E30" s="354">
        <f t="shared" si="1"/>
        <v>4409</v>
      </c>
      <c r="F30" s="354">
        <f t="shared" si="1"/>
        <v>27762</v>
      </c>
      <c r="G30" s="355">
        <f t="shared" si="1"/>
        <v>36716</v>
      </c>
      <c r="H30" s="549">
        <f t="shared" si="1"/>
        <v>1</v>
      </c>
    </row>
    <row r="31" spans="1:7" ht="12.75">
      <c r="A31" s="348"/>
      <c r="B31" s="349"/>
      <c r="C31" s="350"/>
      <c r="D31" s="350"/>
      <c r="E31" s="350"/>
      <c r="F31" s="350"/>
      <c r="G31" s="350"/>
    </row>
    <row r="32" spans="1:8" ht="12.75">
      <c r="A32" s="339"/>
      <c r="B32" s="339"/>
      <c r="F32" s="351"/>
      <c r="G32" s="343" t="s">
        <v>34</v>
      </c>
      <c r="H32" s="351"/>
    </row>
    <row r="33" spans="1:8" ht="12.75">
      <c r="A33" s="675">
        <v>41687</v>
      </c>
      <c r="B33" s="675"/>
      <c r="F33" s="351"/>
      <c r="G33" s="343" t="s">
        <v>35</v>
      </c>
      <c r="H33" s="351"/>
    </row>
    <row r="34" ht="12.75">
      <c r="B34" s="356"/>
    </row>
  </sheetData>
  <sheetProtection/>
  <mergeCells count="8">
    <mergeCell ref="C4:H4"/>
    <mergeCell ref="A2:H3"/>
    <mergeCell ref="A33:B33"/>
    <mergeCell ref="I5:I6"/>
    <mergeCell ref="H5:H6"/>
    <mergeCell ref="C5:D5"/>
    <mergeCell ref="E5:F5"/>
    <mergeCell ref="G5:G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14.8515625" style="0" customWidth="1"/>
    <col min="4" max="4" width="11.140625" style="0" bestFit="1" customWidth="1"/>
    <col min="9" max="9" width="8.8515625" style="0" customWidth="1"/>
    <col min="10" max="10" width="11.140625" style="0" bestFit="1" customWidth="1"/>
    <col min="13" max="13" width="8.57421875" style="0" customWidth="1"/>
    <col min="14" max="14" width="10.7109375" style="0" customWidth="1"/>
  </cols>
  <sheetData>
    <row r="1" spans="12:14" ht="12.75">
      <c r="L1" s="574"/>
      <c r="M1" s="574"/>
      <c r="N1" s="574"/>
    </row>
    <row r="2" spans="1:15" ht="12.75">
      <c r="A2" s="585" t="s">
        <v>94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48"/>
    </row>
    <row r="3" spans="1:14" ht="13.5" thickBo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customHeight="1">
      <c r="A4" s="581" t="s">
        <v>39</v>
      </c>
      <c r="B4" s="586">
        <v>2012</v>
      </c>
      <c r="C4" s="587"/>
      <c r="D4" s="587"/>
      <c r="E4" s="587"/>
      <c r="F4" s="587"/>
      <c r="G4" s="588"/>
      <c r="H4" s="587">
        <v>2013</v>
      </c>
      <c r="I4" s="587"/>
      <c r="J4" s="587"/>
      <c r="K4" s="587"/>
      <c r="L4" s="587"/>
      <c r="M4" s="588"/>
      <c r="N4" s="583" t="s">
        <v>83</v>
      </c>
    </row>
    <row r="5" spans="1:14" ht="15.75" customHeight="1" thickBot="1">
      <c r="A5" s="582"/>
      <c r="B5" s="171" t="s">
        <v>78</v>
      </c>
      <c r="C5" s="172" t="s">
        <v>79</v>
      </c>
      <c r="D5" s="173" t="s">
        <v>80</v>
      </c>
      <c r="E5" s="172" t="s">
        <v>81</v>
      </c>
      <c r="F5" s="172" t="s">
        <v>82</v>
      </c>
      <c r="G5" s="174" t="s">
        <v>26</v>
      </c>
      <c r="H5" s="210" t="s">
        <v>78</v>
      </c>
      <c r="I5" s="172" t="s">
        <v>79</v>
      </c>
      <c r="J5" s="173" t="s">
        <v>80</v>
      </c>
      <c r="K5" s="172" t="s">
        <v>81</v>
      </c>
      <c r="L5" s="172" t="s">
        <v>82</v>
      </c>
      <c r="M5" s="174" t="s">
        <v>26</v>
      </c>
      <c r="N5" s="584"/>
    </row>
    <row r="6" spans="1:14" ht="15.75" customHeight="1">
      <c r="A6" s="46" t="s">
        <v>40</v>
      </c>
      <c r="B6" s="203">
        <v>8236</v>
      </c>
      <c r="C6" s="190">
        <v>5015</v>
      </c>
      <c r="D6" s="190">
        <v>6751</v>
      </c>
      <c r="E6" s="190">
        <v>7078</v>
      </c>
      <c r="F6" s="203">
        <v>5201</v>
      </c>
      <c r="G6" s="192">
        <f aca="true" t="shared" si="0" ref="G6:G11">SUM(B6:F6)</f>
        <v>32281</v>
      </c>
      <c r="H6" s="211">
        <v>9682</v>
      </c>
      <c r="I6" s="191">
        <v>5287</v>
      </c>
      <c r="J6" s="191">
        <v>7593</v>
      </c>
      <c r="K6" s="191">
        <v>7977</v>
      </c>
      <c r="L6" s="191">
        <v>5927</v>
      </c>
      <c r="M6" s="192">
        <f aca="true" t="shared" si="1" ref="M6:M16">SUM(H6:L6)</f>
        <v>36466</v>
      </c>
      <c r="N6" s="176">
        <f aca="true" t="shared" si="2" ref="N6:N19">+(M6/G6)-1</f>
        <v>0.12964282395217008</v>
      </c>
    </row>
    <row r="7" spans="1:14" ht="15.75" customHeight="1">
      <c r="A7" s="47" t="s">
        <v>41</v>
      </c>
      <c r="B7" s="38">
        <v>8037</v>
      </c>
      <c r="C7" s="13">
        <v>4934</v>
      </c>
      <c r="D7" s="13">
        <v>6807</v>
      </c>
      <c r="E7" s="13">
        <v>7224</v>
      </c>
      <c r="F7" s="38">
        <v>5289</v>
      </c>
      <c r="G7" s="151">
        <f t="shared" si="0"/>
        <v>32291</v>
      </c>
      <c r="H7" s="38">
        <v>9471</v>
      </c>
      <c r="I7" s="38">
        <v>5268</v>
      </c>
      <c r="J7" s="38">
        <v>7455</v>
      </c>
      <c r="K7" s="38">
        <v>8022</v>
      </c>
      <c r="L7" s="38">
        <v>5995</v>
      </c>
      <c r="M7" s="11">
        <f t="shared" si="1"/>
        <v>36211</v>
      </c>
      <c r="N7" s="209">
        <f t="shared" si="2"/>
        <v>0.12139605462822467</v>
      </c>
    </row>
    <row r="8" spans="1:19" ht="15.75" customHeight="1">
      <c r="A8" s="47" t="s">
        <v>42</v>
      </c>
      <c r="B8" s="38">
        <v>8321</v>
      </c>
      <c r="C8" s="13">
        <v>4792</v>
      </c>
      <c r="D8" s="13">
        <v>6711</v>
      </c>
      <c r="E8" s="13">
        <v>7227</v>
      </c>
      <c r="F8" s="38">
        <v>4745</v>
      </c>
      <c r="G8" s="151">
        <f t="shared" si="0"/>
        <v>31796</v>
      </c>
      <c r="H8" s="21">
        <v>9479</v>
      </c>
      <c r="I8" s="10">
        <v>5235</v>
      </c>
      <c r="J8" s="10">
        <v>7345</v>
      </c>
      <c r="K8" s="10">
        <v>7806</v>
      </c>
      <c r="L8" s="10">
        <v>5369</v>
      </c>
      <c r="M8" s="11">
        <f t="shared" si="1"/>
        <v>35234</v>
      </c>
      <c r="N8" s="209">
        <f t="shared" si="2"/>
        <v>0.1081268084035727</v>
      </c>
      <c r="S8" s="55"/>
    </row>
    <row r="9" spans="1:19" ht="15.75" customHeight="1">
      <c r="A9" s="47" t="s">
        <v>43</v>
      </c>
      <c r="B9" s="38">
        <v>8618</v>
      </c>
      <c r="C9" s="13">
        <v>4596</v>
      </c>
      <c r="D9" s="13">
        <v>4207</v>
      </c>
      <c r="E9" s="13">
        <v>6924</v>
      </c>
      <c r="F9" s="38">
        <v>3556</v>
      </c>
      <c r="G9" s="151">
        <f t="shared" si="0"/>
        <v>27901</v>
      </c>
      <c r="H9" s="21">
        <v>9964</v>
      </c>
      <c r="I9" s="10">
        <v>5158</v>
      </c>
      <c r="J9" s="10">
        <v>4840</v>
      </c>
      <c r="K9" s="10">
        <v>8075</v>
      </c>
      <c r="L9" s="10">
        <v>3850</v>
      </c>
      <c r="M9" s="11">
        <f t="shared" si="1"/>
        <v>31887</v>
      </c>
      <c r="N9" s="209">
        <f t="shared" si="2"/>
        <v>0.1428622630013261</v>
      </c>
      <c r="S9" s="55"/>
    </row>
    <row r="10" spans="1:19" ht="15.75" customHeight="1">
      <c r="A10" s="47" t="s">
        <v>44</v>
      </c>
      <c r="B10" s="38">
        <v>8371</v>
      </c>
      <c r="C10" s="13">
        <v>4088</v>
      </c>
      <c r="D10" s="13">
        <v>2301</v>
      </c>
      <c r="E10" s="13">
        <v>6837</v>
      </c>
      <c r="F10" s="13">
        <v>2915</v>
      </c>
      <c r="G10" s="151">
        <f t="shared" si="0"/>
        <v>24512</v>
      </c>
      <c r="H10" s="21">
        <v>9876</v>
      </c>
      <c r="I10" s="10">
        <v>4760</v>
      </c>
      <c r="J10" s="10">
        <v>2442</v>
      </c>
      <c r="K10" s="10">
        <v>7873</v>
      </c>
      <c r="L10" s="10">
        <v>3030</v>
      </c>
      <c r="M10" s="65">
        <f t="shared" si="1"/>
        <v>27981</v>
      </c>
      <c r="N10" s="177">
        <f t="shared" si="2"/>
        <v>0.14152251958224538</v>
      </c>
      <c r="S10" s="55"/>
    </row>
    <row r="11" spans="1:19" ht="15.75" customHeight="1" thickBot="1">
      <c r="A11" s="160" t="s">
        <v>45</v>
      </c>
      <c r="B11" s="204">
        <v>8877</v>
      </c>
      <c r="C11" s="205">
        <v>4097</v>
      </c>
      <c r="D11" s="205">
        <v>1535</v>
      </c>
      <c r="E11" s="205">
        <v>6979</v>
      </c>
      <c r="F11" s="205">
        <v>2602</v>
      </c>
      <c r="G11" s="206">
        <f t="shared" si="0"/>
        <v>24090</v>
      </c>
      <c r="H11" s="37">
        <v>10678</v>
      </c>
      <c r="I11" s="165">
        <v>4931</v>
      </c>
      <c r="J11" s="165">
        <v>1682</v>
      </c>
      <c r="K11" s="165">
        <v>8189</v>
      </c>
      <c r="L11" s="165">
        <v>2810</v>
      </c>
      <c r="M11" s="175">
        <f t="shared" si="1"/>
        <v>28290</v>
      </c>
      <c r="N11" s="178">
        <f t="shared" si="2"/>
        <v>0.17434620174346205</v>
      </c>
      <c r="S11" s="55"/>
    </row>
    <row r="12" spans="1:19" ht="45.75" thickBot="1">
      <c r="A12" s="167" t="s">
        <v>68</v>
      </c>
      <c r="B12" s="281">
        <f aca="true" t="shared" si="3" ref="B12:H12">AVERAGE(B6:B11)</f>
        <v>8410</v>
      </c>
      <c r="C12" s="281">
        <f t="shared" si="3"/>
        <v>4587</v>
      </c>
      <c r="D12" s="281">
        <f t="shared" si="3"/>
        <v>4718.666666666667</v>
      </c>
      <c r="E12" s="281">
        <f t="shared" si="3"/>
        <v>7044.833333333333</v>
      </c>
      <c r="F12" s="281">
        <f t="shared" si="3"/>
        <v>4051.3333333333335</v>
      </c>
      <c r="G12" s="282">
        <f t="shared" si="3"/>
        <v>28811.833333333332</v>
      </c>
      <c r="H12" s="208">
        <f t="shared" si="3"/>
        <v>9858.333333333334</v>
      </c>
      <c r="I12" s="208">
        <f>AVERAGE(I6:I11)</f>
        <v>5106.5</v>
      </c>
      <c r="J12" s="208">
        <f>AVERAGE(J6:J11)</f>
        <v>5226.166666666667</v>
      </c>
      <c r="K12" s="208">
        <f>AVERAGE(K6:K11)</f>
        <v>7990.333333333333</v>
      </c>
      <c r="L12" s="208">
        <f>AVERAGE(L6:L11)</f>
        <v>4496.833333333333</v>
      </c>
      <c r="M12" s="283">
        <f>AVERAGE(M6:M11)</f>
        <v>32678.166666666668</v>
      </c>
      <c r="N12" s="284">
        <f t="shared" si="2"/>
        <v>0.1341925482006816</v>
      </c>
      <c r="S12" s="55"/>
    </row>
    <row r="13" spans="1:14" ht="15.75" customHeight="1">
      <c r="A13" s="159" t="s">
        <v>49</v>
      </c>
      <c r="B13" s="38">
        <v>9544</v>
      </c>
      <c r="C13" s="13">
        <v>4279</v>
      </c>
      <c r="D13" s="13">
        <v>1531</v>
      </c>
      <c r="E13" s="13">
        <v>7421</v>
      </c>
      <c r="F13" s="13">
        <v>2624</v>
      </c>
      <c r="G13" s="151">
        <f aca="true" t="shared" si="4" ref="G13:G18">SUM(B13:F13)</f>
        <v>25399</v>
      </c>
      <c r="H13" s="21">
        <v>11246</v>
      </c>
      <c r="I13" s="10">
        <v>5045</v>
      </c>
      <c r="J13" s="10">
        <v>1649</v>
      </c>
      <c r="K13" s="10">
        <v>8810</v>
      </c>
      <c r="L13" s="10">
        <v>2778</v>
      </c>
      <c r="M13" s="65">
        <f t="shared" si="1"/>
        <v>29528</v>
      </c>
      <c r="N13" s="177">
        <f t="shared" si="2"/>
        <v>0.16256545533288702</v>
      </c>
    </row>
    <row r="14" spans="1:14" ht="15.75" customHeight="1">
      <c r="A14" s="47" t="s">
        <v>50</v>
      </c>
      <c r="B14" s="38">
        <v>9430</v>
      </c>
      <c r="C14" s="10">
        <v>4144</v>
      </c>
      <c r="D14" s="10">
        <v>1457</v>
      </c>
      <c r="E14" s="13">
        <v>7215</v>
      </c>
      <c r="F14" s="13">
        <v>2620</v>
      </c>
      <c r="G14" s="151">
        <f t="shared" si="4"/>
        <v>24866</v>
      </c>
      <c r="H14" s="21">
        <v>12062</v>
      </c>
      <c r="I14" s="10">
        <v>4978</v>
      </c>
      <c r="J14" s="10">
        <v>1619</v>
      </c>
      <c r="K14" s="10">
        <v>9026</v>
      </c>
      <c r="L14" s="10">
        <v>2660</v>
      </c>
      <c r="M14" s="65">
        <f t="shared" si="1"/>
        <v>30345</v>
      </c>
      <c r="N14" s="177">
        <f t="shared" si="2"/>
        <v>0.22034102790959542</v>
      </c>
    </row>
    <row r="15" spans="1:14" ht="15.75" customHeight="1">
      <c r="A15" s="47" t="s">
        <v>51</v>
      </c>
      <c r="B15" s="38">
        <v>9269</v>
      </c>
      <c r="C15" s="13">
        <v>4168</v>
      </c>
      <c r="D15" s="13">
        <v>1551</v>
      </c>
      <c r="E15" s="13">
        <v>7319</v>
      </c>
      <c r="F15" s="13">
        <v>2606</v>
      </c>
      <c r="G15" s="151">
        <f t="shared" si="4"/>
        <v>24913</v>
      </c>
      <c r="H15" s="21">
        <v>11702</v>
      </c>
      <c r="I15" s="10">
        <v>4975</v>
      </c>
      <c r="J15" s="10">
        <v>1615</v>
      </c>
      <c r="K15" s="10">
        <v>8679</v>
      </c>
      <c r="L15" s="10">
        <v>2579</v>
      </c>
      <c r="M15" s="65">
        <f t="shared" si="1"/>
        <v>29550</v>
      </c>
      <c r="N15" s="177">
        <f t="shared" si="2"/>
        <v>0.18612772448119452</v>
      </c>
    </row>
    <row r="16" spans="1:14" ht="15.75" customHeight="1">
      <c r="A16" s="47" t="s">
        <v>52</v>
      </c>
      <c r="B16" s="38">
        <v>8565</v>
      </c>
      <c r="C16" s="13">
        <v>3755</v>
      </c>
      <c r="D16" s="13">
        <v>1685</v>
      </c>
      <c r="E16" s="13">
        <v>6596</v>
      </c>
      <c r="F16" s="13">
        <v>2356</v>
      </c>
      <c r="G16" s="151">
        <f t="shared" si="4"/>
        <v>22957</v>
      </c>
      <c r="H16" s="21">
        <f>'appl. by district,sex, month'!B16+'appl. by district,sex, month'!I16</f>
        <v>10643</v>
      </c>
      <c r="I16" s="21">
        <f>'appl. by district,sex, month'!C16+'appl. by district,sex, month'!J16</f>
        <v>4408</v>
      </c>
      <c r="J16" s="21">
        <f>'appl. by district,sex, month'!D16+'appl. by district,sex, month'!K16</f>
        <v>1690</v>
      </c>
      <c r="K16" s="21">
        <f>'appl. by district,sex, month'!E16+'appl. by district,sex, month'!L16</f>
        <v>7902</v>
      </c>
      <c r="L16" s="21">
        <f>'appl. by district,sex, month'!F16+'appl. by district,sex, month'!M16</f>
        <v>2450</v>
      </c>
      <c r="M16" s="65">
        <f t="shared" si="1"/>
        <v>27093</v>
      </c>
      <c r="N16" s="177">
        <f t="shared" si="2"/>
        <v>0.1801629132726401</v>
      </c>
    </row>
    <row r="17" spans="1:14" ht="15.75" customHeight="1">
      <c r="A17" s="47" t="s">
        <v>53</v>
      </c>
      <c r="B17" s="38">
        <v>8364</v>
      </c>
      <c r="C17" s="13">
        <v>4455</v>
      </c>
      <c r="D17" s="13">
        <v>5968</v>
      </c>
      <c r="E17" s="13">
        <v>6660</v>
      </c>
      <c r="F17" s="13">
        <v>3946</v>
      </c>
      <c r="G17" s="151">
        <f t="shared" si="4"/>
        <v>29393</v>
      </c>
      <c r="H17" s="21">
        <f>'appl. by district,sex, month'!B17+'appl. by district,sex, month'!I17</f>
        <v>9766</v>
      </c>
      <c r="I17" s="21">
        <f>'appl. by district,sex, month'!C17+'appl. by district,sex, month'!J17</f>
        <v>4882</v>
      </c>
      <c r="J17" s="21">
        <f>'appl. by district,sex, month'!D17+'appl. by district,sex, month'!K17</f>
        <v>6240</v>
      </c>
      <c r="K17" s="21">
        <f>'appl. by district,sex, month'!E17+'appl. by district,sex, month'!L17</f>
        <v>7759</v>
      </c>
      <c r="L17" s="21">
        <f>'appl. by district,sex, month'!F17+'appl. by district,sex, month'!M17</f>
        <v>3996</v>
      </c>
      <c r="M17" s="65">
        <f>SUM(H17:L17)</f>
        <v>32643</v>
      </c>
      <c r="N17" s="177">
        <f t="shared" si="2"/>
        <v>0.11057054400707655</v>
      </c>
    </row>
    <row r="18" spans="1:14" ht="15.75" customHeight="1" thickBot="1">
      <c r="A18" s="160" t="s">
        <v>54</v>
      </c>
      <c r="B18" s="280">
        <v>8840</v>
      </c>
      <c r="C18" s="254">
        <v>4877</v>
      </c>
      <c r="D18" s="254">
        <v>7121</v>
      </c>
      <c r="E18" s="254">
        <v>7241</v>
      </c>
      <c r="F18" s="254">
        <v>5295</v>
      </c>
      <c r="G18" s="151">
        <f t="shared" si="4"/>
        <v>33374</v>
      </c>
      <c r="H18" s="21">
        <f>'appl. by district,sex, month'!B18+'appl. by district,sex, month'!I18</f>
        <v>9839</v>
      </c>
      <c r="I18" s="21">
        <f>'appl. by district,sex, month'!C18+'appl. by district,sex, month'!J18</f>
        <v>5291</v>
      </c>
      <c r="J18" s="21">
        <f>'appl. by district,sex, month'!D18+'appl. by district,sex, month'!K18</f>
        <v>7676</v>
      </c>
      <c r="K18" s="21">
        <f>'appl. by district,sex, month'!E18+'appl. by district,sex, month'!L18</f>
        <v>8216</v>
      </c>
      <c r="L18" s="21">
        <f>'appl. by district,sex, month'!F18+'appl. by district,sex, month'!M18</f>
        <v>5694</v>
      </c>
      <c r="M18" s="65">
        <f>SUM(H18:L18)</f>
        <v>36716</v>
      </c>
      <c r="N18" s="177">
        <f t="shared" si="2"/>
        <v>0.1001378318451489</v>
      </c>
    </row>
    <row r="19" spans="1:14" ht="45.75" thickBot="1">
      <c r="A19" s="168" t="s">
        <v>69</v>
      </c>
      <c r="B19" s="208">
        <f aca="true" t="shared" si="5" ref="B19:L19">AVERAGE(B13:B18)</f>
        <v>9002</v>
      </c>
      <c r="C19" s="208">
        <f t="shared" si="5"/>
        <v>4279.666666666667</v>
      </c>
      <c r="D19" s="208">
        <f t="shared" si="5"/>
        <v>3218.8333333333335</v>
      </c>
      <c r="E19" s="208">
        <f t="shared" si="5"/>
        <v>7075.333333333333</v>
      </c>
      <c r="F19" s="208">
        <f t="shared" si="5"/>
        <v>3241.1666666666665</v>
      </c>
      <c r="G19" s="212">
        <f t="shared" si="5"/>
        <v>26817</v>
      </c>
      <c r="H19" s="180">
        <f t="shared" si="5"/>
        <v>10876.333333333334</v>
      </c>
      <c r="I19" s="181">
        <f t="shared" si="5"/>
        <v>4929.833333333333</v>
      </c>
      <c r="J19" s="181">
        <f t="shared" si="5"/>
        <v>3414.8333333333335</v>
      </c>
      <c r="K19" s="181">
        <f t="shared" si="5"/>
        <v>8398.666666666666</v>
      </c>
      <c r="L19" s="181">
        <f t="shared" si="5"/>
        <v>3359.5</v>
      </c>
      <c r="M19" s="182">
        <f>AVERAGE(M13:M18)</f>
        <v>30979.166666666668</v>
      </c>
      <c r="N19" s="284">
        <f t="shared" si="2"/>
        <v>0.15520627462679149</v>
      </c>
    </row>
    <row r="20" spans="1:14" ht="45.75" thickBot="1">
      <c r="A20" s="169" t="s">
        <v>70</v>
      </c>
      <c r="B20" s="276">
        <f aca="true" t="shared" si="6" ref="B20:G20">AVERAGE(B12,B19)</f>
        <v>8706</v>
      </c>
      <c r="C20" s="276">
        <f t="shared" si="6"/>
        <v>4433.333333333334</v>
      </c>
      <c r="D20" s="276">
        <f t="shared" si="6"/>
        <v>3968.75</v>
      </c>
      <c r="E20" s="276">
        <f t="shared" si="6"/>
        <v>7060.083333333333</v>
      </c>
      <c r="F20" s="276">
        <f t="shared" si="6"/>
        <v>3646.25</v>
      </c>
      <c r="G20" s="277">
        <f t="shared" si="6"/>
        <v>27814.416666666664</v>
      </c>
      <c r="H20" s="276">
        <f aca="true" t="shared" si="7" ref="H20:M20">AVERAGE(H12,H19)</f>
        <v>10367.333333333334</v>
      </c>
      <c r="I20" s="278">
        <f t="shared" si="7"/>
        <v>5018.166666666666</v>
      </c>
      <c r="J20" s="278">
        <f t="shared" si="7"/>
        <v>4320.5</v>
      </c>
      <c r="K20" s="278">
        <f t="shared" si="7"/>
        <v>8194.5</v>
      </c>
      <c r="L20" s="278">
        <f t="shared" si="7"/>
        <v>3928.1666666666665</v>
      </c>
      <c r="M20" s="279">
        <f t="shared" si="7"/>
        <v>31828.666666666668</v>
      </c>
      <c r="N20" s="284">
        <f>+(M20/G20)-1</f>
        <v>0.1443226384398979</v>
      </c>
    </row>
    <row r="21" spans="1:14" ht="12.75">
      <c r="A21" s="7"/>
      <c r="B21" s="7"/>
      <c r="C21" s="7"/>
      <c r="D21" s="7"/>
      <c r="E21" s="7"/>
      <c r="F21" s="7"/>
      <c r="G21" s="7"/>
      <c r="H21" s="7"/>
      <c r="I21" s="7"/>
      <c r="J21" s="1"/>
      <c r="K21" s="1"/>
      <c r="L21" s="1"/>
      <c r="M21" s="1"/>
      <c r="N21" s="1"/>
    </row>
    <row r="22" spans="1:14" ht="12.75">
      <c r="A22" s="1"/>
      <c r="B22" s="207"/>
      <c r="C22" s="207"/>
      <c r="D22" s="207"/>
      <c r="E22" s="207"/>
      <c r="F22" s="207"/>
      <c r="G22" s="207"/>
      <c r="H22" s="7"/>
      <c r="I22" s="7"/>
      <c r="J22" s="1"/>
      <c r="K22" s="193" t="s">
        <v>34</v>
      </c>
      <c r="L22" s="108"/>
      <c r="M22" s="108"/>
      <c r="N22" s="108"/>
    </row>
    <row r="23" spans="1:14" ht="12.75">
      <c r="A23" s="179">
        <f>'appl. by district,sex, month'!A25:B25</f>
        <v>41687</v>
      </c>
      <c r="B23" s="207"/>
      <c r="C23" s="207"/>
      <c r="D23" s="207"/>
      <c r="E23" s="207"/>
      <c r="F23" s="207"/>
      <c r="G23" s="207"/>
      <c r="H23" s="7"/>
      <c r="I23" s="7"/>
      <c r="J23" s="1"/>
      <c r="K23" s="170" t="s">
        <v>35</v>
      </c>
      <c r="L23" s="202"/>
      <c r="M23" s="202"/>
      <c r="N23" s="202"/>
    </row>
    <row r="24" spans="1:14" ht="12.75">
      <c r="A24" s="4"/>
      <c r="B24" s="8"/>
      <c r="C24" s="7"/>
      <c r="D24" s="7"/>
      <c r="E24" s="7"/>
      <c r="F24" s="7"/>
      <c r="G24" s="7"/>
      <c r="H24" s="7"/>
      <c r="I24" s="7"/>
      <c r="J24" s="1"/>
      <c r="K24" s="23"/>
      <c r="L24" s="4"/>
      <c r="M24" s="1"/>
      <c r="N24" s="1"/>
    </row>
    <row r="25" spans="1:14" ht="12.75">
      <c r="A25" s="20"/>
      <c r="B25" s="8"/>
      <c r="C25" s="7"/>
      <c r="D25" s="7"/>
      <c r="E25" s="7"/>
      <c r="F25" s="7"/>
      <c r="G25" s="7"/>
      <c r="H25" s="7"/>
      <c r="I25" s="14"/>
      <c r="J25" s="24"/>
      <c r="K25" s="23"/>
      <c r="L25" s="4"/>
      <c r="M25" s="4"/>
      <c r="N25" s="1"/>
    </row>
    <row r="26" ht="12.75">
      <c r="B26" t="s">
        <v>2</v>
      </c>
    </row>
  </sheetData>
  <sheetProtection/>
  <mergeCells count="6">
    <mergeCell ref="A4:A5"/>
    <mergeCell ref="N4:N5"/>
    <mergeCell ref="L1:N1"/>
    <mergeCell ref="A2:N2"/>
    <mergeCell ref="B4:G4"/>
    <mergeCell ref="H4:M4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18.28125" style="0" customWidth="1"/>
    <col min="2" max="2" width="8.8515625" style="0" customWidth="1"/>
    <col min="3" max="3" width="12.7109375" style="0" bestFit="1" customWidth="1"/>
    <col min="4" max="4" width="10.7109375" style="0" customWidth="1"/>
    <col min="5" max="5" width="12.7109375" style="0" bestFit="1" customWidth="1"/>
    <col min="6" max="6" width="7.7109375" style="0" customWidth="1"/>
    <col min="7" max="7" width="8.00390625" style="0" customWidth="1"/>
    <col min="8" max="8" width="12.7109375" style="0" bestFit="1" customWidth="1"/>
    <col min="9" max="9" width="10.7109375" style="0" customWidth="1"/>
    <col min="10" max="10" width="12.7109375" style="0" bestFit="1" customWidth="1"/>
    <col min="11" max="11" width="8.7109375" style="0" customWidth="1"/>
  </cols>
  <sheetData>
    <row r="1" spans="1:12" ht="12.75">
      <c r="A1" s="585" t="s">
        <v>91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4"/>
    </row>
    <row r="2" spans="1:12" ht="13.5" thickBo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2"/>
    </row>
    <row r="3" spans="1:12" ht="16.5" customHeight="1">
      <c r="A3" s="581" t="s">
        <v>39</v>
      </c>
      <c r="B3" s="233"/>
      <c r="C3" s="234"/>
      <c r="D3" s="235">
        <v>2012</v>
      </c>
      <c r="E3" s="234"/>
      <c r="F3" s="236"/>
      <c r="G3" s="233"/>
      <c r="H3" s="234"/>
      <c r="I3" s="235">
        <v>2013</v>
      </c>
      <c r="J3" s="234"/>
      <c r="K3" s="237"/>
      <c r="L3" s="2"/>
    </row>
    <row r="4" spans="1:12" s="43" customFormat="1" ht="19.5" customHeight="1" thickBot="1">
      <c r="A4" s="582"/>
      <c r="B4" s="250" t="s">
        <v>76</v>
      </c>
      <c r="C4" s="251" t="s">
        <v>75</v>
      </c>
      <c r="D4" s="251" t="s">
        <v>77</v>
      </c>
      <c r="E4" s="251" t="s">
        <v>75</v>
      </c>
      <c r="F4" s="252" t="s">
        <v>26</v>
      </c>
      <c r="G4" s="250" t="s">
        <v>76</v>
      </c>
      <c r="H4" s="251" t="s">
        <v>75</v>
      </c>
      <c r="I4" s="251" t="s">
        <v>77</v>
      </c>
      <c r="J4" s="251" t="s">
        <v>75</v>
      </c>
      <c r="K4" s="253" t="s">
        <v>26</v>
      </c>
      <c r="L4" s="170"/>
    </row>
    <row r="5" spans="1:12" ht="15.75" customHeight="1">
      <c r="A5" s="227" t="s">
        <v>40</v>
      </c>
      <c r="B5" s="238">
        <v>16432</v>
      </c>
      <c r="C5" s="239">
        <f aca="true" t="shared" si="0" ref="C5:C11">+B5/F5</f>
        <v>0.5090300796133949</v>
      </c>
      <c r="D5" s="240">
        <v>15849</v>
      </c>
      <c r="E5" s="239">
        <f aca="true" t="shared" si="1" ref="E5:E10">+D5/F5</f>
        <v>0.49096992038660514</v>
      </c>
      <c r="F5" s="241">
        <f aca="true" t="shared" si="2" ref="F5:F10">SUM(B5+D5)</f>
        <v>32281</v>
      </c>
      <c r="G5" s="242">
        <v>18626</v>
      </c>
      <c r="H5" s="239">
        <f aca="true" t="shared" si="3" ref="H5:H15">+G5/K5</f>
        <v>0.5107771622881588</v>
      </c>
      <c r="I5" s="240">
        <v>17840</v>
      </c>
      <c r="J5" s="239">
        <f aca="true" t="shared" si="4" ref="J5:J14">+I5/K5</f>
        <v>0.48922283771184116</v>
      </c>
      <c r="K5" s="241">
        <f aca="true" t="shared" si="5" ref="K5:K14">SUM(G5+I5)</f>
        <v>36466</v>
      </c>
      <c r="L5" s="7"/>
    </row>
    <row r="6" spans="1:12" ht="15.75" customHeight="1">
      <c r="A6" s="228" t="s">
        <v>41</v>
      </c>
      <c r="B6" s="238">
        <v>16842</v>
      </c>
      <c r="C6" s="239">
        <f t="shared" si="0"/>
        <v>0.5215694775634078</v>
      </c>
      <c r="D6" s="240">
        <v>15449</v>
      </c>
      <c r="E6" s="239">
        <f t="shared" si="1"/>
        <v>0.47843052243659223</v>
      </c>
      <c r="F6" s="241">
        <f t="shared" si="2"/>
        <v>32291</v>
      </c>
      <c r="G6" s="238">
        <v>18594</v>
      </c>
      <c r="H6" s="239">
        <f t="shared" si="3"/>
        <v>0.5134903758526415</v>
      </c>
      <c r="I6" s="240">
        <v>17617</v>
      </c>
      <c r="J6" s="239">
        <f t="shared" si="4"/>
        <v>0.48650962414735854</v>
      </c>
      <c r="K6" s="241">
        <f t="shared" si="5"/>
        <v>36211</v>
      </c>
      <c r="L6" s="12"/>
    </row>
    <row r="7" spans="1:12" ht="15.75" customHeight="1">
      <c r="A7" s="228" t="s">
        <v>42</v>
      </c>
      <c r="B7" s="243">
        <v>16860</v>
      </c>
      <c r="C7" s="239">
        <f t="shared" si="0"/>
        <v>0.5302553780349729</v>
      </c>
      <c r="D7" s="240">
        <v>14936</v>
      </c>
      <c r="E7" s="239">
        <f t="shared" si="1"/>
        <v>0.46974462196502703</v>
      </c>
      <c r="F7" s="241">
        <f t="shared" si="2"/>
        <v>31796</v>
      </c>
      <c r="G7" s="243">
        <v>18154</v>
      </c>
      <c r="H7" s="239">
        <f t="shared" si="3"/>
        <v>0.5152409604359426</v>
      </c>
      <c r="I7" s="240">
        <v>17080</v>
      </c>
      <c r="J7" s="239">
        <f t="shared" si="4"/>
        <v>0.48475903956405747</v>
      </c>
      <c r="K7" s="241">
        <f t="shared" si="5"/>
        <v>35234</v>
      </c>
      <c r="L7" s="12"/>
    </row>
    <row r="8" spans="1:12" ht="15.75" customHeight="1">
      <c r="A8" s="228" t="s">
        <v>43</v>
      </c>
      <c r="B8" s="238">
        <v>15055</v>
      </c>
      <c r="C8" s="239">
        <f t="shared" si="0"/>
        <v>0.5395863947528763</v>
      </c>
      <c r="D8" s="240">
        <v>12846</v>
      </c>
      <c r="E8" s="239">
        <f t="shared" si="1"/>
        <v>0.46041360524712377</v>
      </c>
      <c r="F8" s="241">
        <f t="shared" si="2"/>
        <v>27901</v>
      </c>
      <c r="G8" s="238">
        <v>17133</v>
      </c>
      <c r="H8" s="239">
        <f t="shared" si="3"/>
        <v>0.5373036033493274</v>
      </c>
      <c r="I8" s="240">
        <v>14754</v>
      </c>
      <c r="J8" s="239">
        <f t="shared" si="4"/>
        <v>0.4626963966506727</v>
      </c>
      <c r="K8" s="241">
        <f t="shared" si="5"/>
        <v>31887</v>
      </c>
      <c r="L8" s="12"/>
    </row>
    <row r="9" spans="1:12" ht="15.75" customHeight="1">
      <c r="A9" s="228" t="s">
        <v>44</v>
      </c>
      <c r="B9" s="243">
        <v>13591</v>
      </c>
      <c r="C9" s="239">
        <f t="shared" si="0"/>
        <v>0.5544631201044387</v>
      </c>
      <c r="D9" s="240">
        <v>10921</v>
      </c>
      <c r="E9" s="239">
        <f t="shared" si="1"/>
        <v>0.44553687989556134</v>
      </c>
      <c r="F9" s="241">
        <f t="shared" si="2"/>
        <v>24512</v>
      </c>
      <c r="G9" s="243">
        <v>15562</v>
      </c>
      <c r="H9" s="239">
        <f t="shared" si="3"/>
        <v>0.5561631106822487</v>
      </c>
      <c r="I9" s="240">
        <v>12419</v>
      </c>
      <c r="J9" s="239">
        <f t="shared" si="4"/>
        <v>0.44383688931775134</v>
      </c>
      <c r="K9" s="241">
        <f t="shared" si="5"/>
        <v>27981</v>
      </c>
      <c r="L9" s="12"/>
    </row>
    <row r="10" spans="1:12" ht="15.75" customHeight="1" thickBot="1">
      <c r="A10" s="229" t="s">
        <v>45</v>
      </c>
      <c r="B10" s="244">
        <v>12417</v>
      </c>
      <c r="C10" s="245">
        <f t="shared" si="0"/>
        <v>0.5154420921544209</v>
      </c>
      <c r="D10" s="246">
        <v>11673</v>
      </c>
      <c r="E10" s="245">
        <f t="shared" si="1"/>
        <v>0.48455790784557906</v>
      </c>
      <c r="F10" s="247">
        <f t="shared" si="2"/>
        <v>24090</v>
      </c>
      <c r="G10" s="244">
        <v>14881</v>
      </c>
      <c r="H10" s="245">
        <f t="shared" si="3"/>
        <v>0.5260162601626016</v>
      </c>
      <c r="I10" s="246">
        <v>13409</v>
      </c>
      <c r="J10" s="245">
        <f t="shared" si="4"/>
        <v>0.4739837398373984</v>
      </c>
      <c r="K10" s="247">
        <f t="shared" si="5"/>
        <v>28290</v>
      </c>
      <c r="L10" s="12"/>
    </row>
    <row r="11" spans="1:12" ht="48.75" thickBot="1">
      <c r="A11" s="230" t="s">
        <v>68</v>
      </c>
      <c r="B11" s="285">
        <f>AVERAGE(B5:B10)</f>
        <v>15199.5</v>
      </c>
      <c r="C11" s="166">
        <f t="shared" si="0"/>
        <v>0.5275436597231462</v>
      </c>
      <c r="D11" s="286">
        <f>AVERAGE(D5:D10)</f>
        <v>13612.333333333334</v>
      </c>
      <c r="E11" s="166">
        <f>+D11/F11</f>
        <v>0.4724563402768539</v>
      </c>
      <c r="F11" s="212">
        <f>AVERAGE(F5:F10)</f>
        <v>28811.833333333332</v>
      </c>
      <c r="G11" s="285">
        <f>AVERAGE(G5:G10)</f>
        <v>17158.333333333332</v>
      </c>
      <c r="H11" s="166">
        <f t="shared" si="3"/>
        <v>0.5250702558793078</v>
      </c>
      <c r="I11" s="286">
        <f>AVERAGE(I5:I10)</f>
        <v>15519.833333333334</v>
      </c>
      <c r="J11" s="166">
        <f t="shared" si="4"/>
        <v>0.4749297441206922</v>
      </c>
      <c r="K11" s="212">
        <f>AVERAGE(K5:K10)</f>
        <v>32678.166666666668</v>
      </c>
      <c r="L11" s="7"/>
    </row>
    <row r="12" spans="1:12" ht="22.5" customHeight="1">
      <c r="A12" s="231" t="s">
        <v>49</v>
      </c>
      <c r="B12" s="238">
        <v>12322</v>
      </c>
      <c r="C12" s="248">
        <f aca="true" t="shared" si="6" ref="C12:C18">+B12/F12</f>
        <v>0.48513721012638295</v>
      </c>
      <c r="D12" s="240">
        <v>13077</v>
      </c>
      <c r="E12" s="248">
        <f aca="true" t="shared" si="7" ref="E12:E19">+D12/F12</f>
        <v>0.5148627898736171</v>
      </c>
      <c r="F12" s="241">
        <f aca="true" t="shared" si="8" ref="F12:F17">SUM(B12+D12)</f>
        <v>25399</v>
      </c>
      <c r="G12" s="238">
        <v>14572</v>
      </c>
      <c r="H12" s="239">
        <f t="shared" si="3"/>
        <v>0.4934976971010566</v>
      </c>
      <c r="I12" s="240">
        <v>14956</v>
      </c>
      <c r="J12" s="239">
        <f t="shared" si="4"/>
        <v>0.5065023028989434</v>
      </c>
      <c r="K12" s="241">
        <f t="shared" si="5"/>
        <v>29528</v>
      </c>
      <c r="L12" s="12"/>
    </row>
    <row r="13" spans="1:12" ht="15.75" customHeight="1">
      <c r="A13" s="228" t="s">
        <v>50</v>
      </c>
      <c r="B13" s="238">
        <v>11850</v>
      </c>
      <c r="C13" s="239">
        <f t="shared" si="6"/>
        <v>0.4765543312153141</v>
      </c>
      <c r="D13" s="240">
        <v>13016</v>
      </c>
      <c r="E13" s="239">
        <f t="shared" si="7"/>
        <v>0.5234456687846859</v>
      </c>
      <c r="F13" s="241">
        <f t="shared" si="8"/>
        <v>24866</v>
      </c>
      <c r="G13" s="238">
        <v>14462</v>
      </c>
      <c r="H13" s="239">
        <f t="shared" si="3"/>
        <v>0.4765859284890427</v>
      </c>
      <c r="I13" s="240">
        <v>15883</v>
      </c>
      <c r="J13" s="239">
        <f t="shared" si="4"/>
        <v>0.5234140715109573</v>
      </c>
      <c r="K13" s="241">
        <f t="shared" si="5"/>
        <v>30345</v>
      </c>
      <c r="L13" s="12"/>
    </row>
    <row r="14" spans="1:12" ht="15.75" customHeight="1">
      <c r="A14" s="228" t="s">
        <v>51</v>
      </c>
      <c r="B14" s="238">
        <v>12177</v>
      </c>
      <c r="C14" s="239">
        <f t="shared" si="6"/>
        <v>0.4887809577329105</v>
      </c>
      <c r="D14" s="240">
        <v>12736</v>
      </c>
      <c r="E14" s="239">
        <f t="shared" si="7"/>
        <v>0.5112190422670895</v>
      </c>
      <c r="F14" s="241">
        <f t="shared" si="8"/>
        <v>24913</v>
      </c>
      <c r="G14" s="238">
        <v>13959</v>
      </c>
      <c r="H14" s="239">
        <f t="shared" si="3"/>
        <v>0.47238578680203047</v>
      </c>
      <c r="I14" s="240">
        <v>15591</v>
      </c>
      <c r="J14" s="239">
        <f t="shared" si="4"/>
        <v>0.5276142131979695</v>
      </c>
      <c r="K14" s="241">
        <f t="shared" si="5"/>
        <v>29550</v>
      </c>
      <c r="L14" s="12"/>
    </row>
    <row r="15" spans="1:12" ht="15.75" customHeight="1">
      <c r="A15" s="228" t="s">
        <v>52</v>
      </c>
      <c r="B15" s="238">
        <v>12376</v>
      </c>
      <c r="C15" s="239">
        <f t="shared" si="6"/>
        <v>0.5390948294637801</v>
      </c>
      <c r="D15" s="240">
        <v>10581</v>
      </c>
      <c r="E15" s="239">
        <f t="shared" si="7"/>
        <v>0.4609051705362199</v>
      </c>
      <c r="F15" s="241">
        <f t="shared" si="8"/>
        <v>22957</v>
      </c>
      <c r="G15" s="238">
        <f>'appl. by district,sex, month'!G16</f>
        <v>13850</v>
      </c>
      <c r="H15" s="239">
        <f t="shared" si="3"/>
        <v>0.5112021555383309</v>
      </c>
      <c r="I15" s="240">
        <f>'appl. by district,sex, month'!N16</f>
        <v>13243</v>
      </c>
      <c r="J15" s="239">
        <f>+I15/K15</f>
        <v>0.4887978444616691</v>
      </c>
      <c r="K15" s="241">
        <f>SUM(G15+I15)</f>
        <v>27093</v>
      </c>
      <c r="L15" s="12"/>
    </row>
    <row r="16" spans="1:12" ht="15.75" customHeight="1">
      <c r="A16" s="228" t="s">
        <v>53</v>
      </c>
      <c r="B16" s="238">
        <v>15214</v>
      </c>
      <c r="C16" s="239">
        <f t="shared" si="6"/>
        <v>0.5176062327765114</v>
      </c>
      <c r="D16" s="240">
        <v>14179</v>
      </c>
      <c r="E16" s="239">
        <f t="shared" si="7"/>
        <v>0.4823937672234886</v>
      </c>
      <c r="F16" s="241">
        <f t="shared" si="8"/>
        <v>29393</v>
      </c>
      <c r="G16" s="238">
        <f>'appl. by district,sex, month'!G17</f>
        <v>16516</v>
      </c>
      <c r="H16" s="239">
        <f>+G16/K16</f>
        <v>0.5059583984315167</v>
      </c>
      <c r="I16" s="240">
        <f>'appl. by district,sex, month'!N17</f>
        <v>16127</v>
      </c>
      <c r="J16" s="239">
        <f>+I16/K16</f>
        <v>0.4940416015684833</v>
      </c>
      <c r="K16" s="241">
        <f>SUM(G16+I16)</f>
        <v>32643</v>
      </c>
      <c r="L16" s="12"/>
    </row>
    <row r="17" spans="1:12" ht="15.75" customHeight="1" thickBot="1">
      <c r="A17" s="229" t="s">
        <v>54</v>
      </c>
      <c r="B17" s="244">
        <v>17183</v>
      </c>
      <c r="C17" s="245">
        <f t="shared" si="6"/>
        <v>0.514861868520405</v>
      </c>
      <c r="D17" s="246">
        <v>16191</v>
      </c>
      <c r="E17" s="245">
        <f t="shared" si="7"/>
        <v>0.4851381314795949</v>
      </c>
      <c r="F17" s="247">
        <f t="shared" si="8"/>
        <v>33374</v>
      </c>
      <c r="G17" s="238">
        <f>'appl. by district,sex, month'!G18</f>
        <v>18394</v>
      </c>
      <c r="H17" s="239">
        <f>+G17/K17</f>
        <v>0.5009804989650288</v>
      </c>
      <c r="I17" s="240">
        <f>'appl. by district,sex, month'!N18</f>
        <v>18322</v>
      </c>
      <c r="J17" s="239">
        <f>+I17/K17</f>
        <v>0.4990195010349711</v>
      </c>
      <c r="K17" s="241">
        <f>SUM(G17+I17)</f>
        <v>36716</v>
      </c>
      <c r="L17" s="12"/>
    </row>
    <row r="18" spans="1:12" ht="48.75" thickBot="1">
      <c r="A18" s="230" t="s">
        <v>69</v>
      </c>
      <c r="B18" s="180">
        <f>AVERAGE(B12:B17)</f>
        <v>13520.333333333334</v>
      </c>
      <c r="C18" s="166">
        <f t="shared" si="6"/>
        <v>0.5041702402704752</v>
      </c>
      <c r="D18" s="181">
        <f>AVERAGE(D12:D17)</f>
        <v>13296.666666666666</v>
      </c>
      <c r="E18" s="166">
        <f t="shared" si="7"/>
        <v>0.49582975972952475</v>
      </c>
      <c r="F18" s="182">
        <f>AVERAGE(F12:F17)</f>
        <v>26817</v>
      </c>
      <c r="G18" s="180">
        <f>AVERAGE(G12:G17)</f>
        <v>15292.166666666666</v>
      </c>
      <c r="H18" s="166">
        <f>+G18/K18</f>
        <v>0.49362743779421653</v>
      </c>
      <c r="I18" s="181">
        <f>AVERAGE(I12:I17)</f>
        <v>15687</v>
      </c>
      <c r="J18" s="166">
        <f>+I18/K18</f>
        <v>0.5063725622057834</v>
      </c>
      <c r="K18" s="182">
        <f>AVERAGE(K12:K17)</f>
        <v>30979.166666666668</v>
      </c>
      <c r="L18" s="9"/>
    </row>
    <row r="19" spans="1:12" ht="48.75" thickBot="1">
      <c r="A19" s="232" t="s">
        <v>70</v>
      </c>
      <c r="B19" s="180">
        <f>AVERAGE(B11,B18)</f>
        <v>14359.916666666668</v>
      </c>
      <c r="C19" s="166">
        <f>+B19/F19</f>
        <v>0.5162760319139057</v>
      </c>
      <c r="D19" s="181">
        <f>AVERAGE(D11,D18)</f>
        <v>13454.5</v>
      </c>
      <c r="E19" s="166">
        <f t="shared" si="7"/>
        <v>0.48372396808609447</v>
      </c>
      <c r="F19" s="182">
        <f>AVERAGE(F11,F18)</f>
        <v>27814.416666666664</v>
      </c>
      <c r="G19" s="180">
        <f>AVERAGE(G11,G18)</f>
        <v>16225.25</v>
      </c>
      <c r="H19" s="166">
        <f>+G19/K19</f>
        <v>0.5097684477305573</v>
      </c>
      <c r="I19" s="181">
        <f>AVERAGE(I11,I18)</f>
        <v>15603.416666666668</v>
      </c>
      <c r="J19" s="166">
        <f>+I19/K19</f>
        <v>0.49023155226944265</v>
      </c>
      <c r="K19" s="182">
        <f>AVERAGE(K11,K18)</f>
        <v>31828.666666666668</v>
      </c>
      <c r="L19" s="9"/>
    </row>
    <row r="20" spans="1:12" ht="31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12"/>
    </row>
    <row r="21" spans="1:11" ht="12.75">
      <c r="A21" s="41"/>
      <c r="B21" s="41"/>
      <c r="C21" s="41"/>
      <c r="D21" s="41"/>
      <c r="E21" s="41"/>
      <c r="F21" s="41"/>
      <c r="G21" s="41"/>
      <c r="H21" s="51"/>
      <c r="I21" s="52" t="s">
        <v>34</v>
      </c>
      <c r="J21" s="51"/>
      <c r="K21" s="41"/>
    </row>
    <row r="22" spans="1:11" ht="12.75">
      <c r="A22" s="249">
        <f>'appl. by district, month 12-13'!A23</f>
        <v>41687</v>
      </c>
      <c r="B22" s="41"/>
      <c r="C22" s="41"/>
      <c r="D22" s="41"/>
      <c r="E22" s="41"/>
      <c r="F22" s="41"/>
      <c r="G22" s="41"/>
      <c r="H22" s="589" t="s">
        <v>35</v>
      </c>
      <c r="I22" s="589"/>
      <c r="J22" s="589"/>
      <c r="K22" s="589"/>
    </row>
    <row r="23" spans="1:11" ht="12.75">
      <c r="A23" s="4"/>
      <c r="B23" s="1"/>
      <c r="C23" s="1"/>
      <c r="D23" s="1"/>
      <c r="E23" s="1"/>
      <c r="F23" s="4"/>
      <c r="G23" s="4"/>
      <c r="H23" s="1"/>
      <c r="I23" s="23"/>
      <c r="J23" s="1"/>
      <c r="K23" s="1"/>
    </row>
    <row r="24" spans="1:11" ht="12.75">
      <c r="A24" s="20"/>
      <c r="B24" s="1"/>
      <c r="C24" s="1"/>
      <c r="D24" s="1"/>
      <c r="E24" s="1"/>
      <c r="F24" s="1"/>
      <c r="G24" s="1"/>
      <c r="H24" s="23"/>
      <c r="I24" s="23"/>
      <c r="J24" s="4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3">
    <mergeCell ref="A1:K1"/>
    <mergeCell ref="H22:K22"/>
    <mergeCell ref="A3:A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16.00390625" style="0" customWidth="1"/>
    <col min="2" max="3" width="9.140625" style="0" hidden="1" customWidth="1"/>
    <col min="4" max="4" width="14.00390625" style="0" hidden="1" customWidth="1"/>
    <col min="5" max="5" width="13.57421875" style="0" hidden="1" customWidth="1"/>
    <col min="6" max="6" width="13.140625" style="0" hidden="1" customWidth="1"/>
    <col min="7" max="7" width="12.8515625" style="0" hidden="1" customWidth="1"/>
    <col min="8" max="8" width="13.00390625" style="0" hidden="1" customWidth="1"/>
    <col min="9" max="9" width="12.7109375" style="0" hidden="1" customWidth="1"/>
    <col min="10" max="10" width="13.00390625" style="0" hidden="1" customWidth="1"/>
    <col min="11" max="11" width="11.7109375" style="0" hidden="1" customWidth="1"/>
    <col min="12" max="12" width="13.140625" style="0" hidden="1" customWidth="1"/>
    <col min="13" max="20" width="9.7109375" style="0" customWidth="1"/>
    <col min="22" max="22" width="9.140625" style="0" customWidth="1"/>
  </cols>
  <sheetData>
    <row r="1" ht="18" customHeight="1">
      <c r="A1" s="48"/>
    </row>
    <row r="2" spans="1:22" s="4" customFormat="1" ht="24.75" customHeight="1">
      <c r="A2" s="591" t="s">
        <v>87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</row>
    <row r="3" spans="1:17" ht="15.75" thickBot="1">
      <c r="A3" s="6"/>
      <c r="B3" s="6"/>
      <c r="C3" s="6"/>
      <c r="D3" s="6"/>
      <c r="E3" s="6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22" ht="25.5" customHeight="1">
      <c r="A4" s="397" t="s">
        <v>39</v>
      </c>
      <c r="B4" s="110">
        <v>1995</v>
      </c>
      <c r="C4" s="111">
        <v>1996</v>
      </c>
      <c r="D4" s="111">
        <v>1997</v>
      </c>
      <c r="E4" s="111">
        <v>1998</v>
      </c>
      <c r="F4" s="111">
        <v>1999</v>
      </c>
      <c r="G4" s="111">
        <v>2000</v>
      </c>
      <c r="H4" s="111">
        <v>2001</v>
      </c>
      <c r="I4" s="63">
        <v>2002</v>
      </c>
      <c r="J4" s="63">
        <v>2003</v>
      </c>
      <c r="K4" s="62">
        <v>2004</v>
      </c>
      <c r="L4" s="62">
        <v>2005</v>
      </c>
      <c r="M4" s="63">
        <v>2006</v>
      </c>
      <c r="N4" s="63">
        <v>2007</v>
      </c>
      <c r="O4" s="63">
        <v>2008</v>
      </c>
      <c r="P4" s="63">
        <v>2009</v>
      </c>
      <c r="Q4" s="63">
        <v>2010</v>
      </c>
      <c r="R4" s="107">
        <v>2011</v>
      </c>
      <c r="S4" s="107">
        <v>2012</v>
      </c>
      <c r="T4" s="189" t="s">
        <v>74</v>
      </c>
      <c r="U4" s="185">
        <v>2013</v>
      </c>
      <c r="V4" s="106" t="s">
        <v>88</v>
      </c>
    </row>
    <row r="5" spans="1:22" ht="18" customHeight="1">
      <c r="A5" s="159" t="s">
        <v>40</v>
      </c>
      <c r="B5" s="109">
        <v>9930</v>
      </c>
      <c r="C5" s="99">
        <v>11018</v>
      </c>
      <c r="D5" s="99">
        <v>13246</v>
      </c>
      <c r="E5" s="99">
        <v>11830</v>
      </c>
      <c r="F5" s="99">
        <v>14649</v>
      </c>
      <c r="G5" s="99">
        <v>14167</v>
      </c>
      <c r="H5" s="99">
        <f>15282-717</f>
        <v>14565</v>
      </c>
      <c r="I5" s="99">
        <v>14545</v>
      </c>
      <c r="J5" s="100">
        <v>15305</v>
      </c>
      <c r="K5" s="114">
        <v>15193</v>
      </c>
      <c r="L5" s="64">
        <v>18220</v>
      </c>
      <c r="M5" s="64">
        <v>18391</v>
      </c>
      <c r="N5" s="64">
        <v>18001</v>
      </c>
      <c r="O5" s="64">
        <v>16578</v>
      </c>
      <c r="P5" s="64">
        <v>18238</v>
      </c>
      <c r="Q5" s="64">
        <v>24817</v>
      </c>
      <c r="R5" s="64">
        <v>26664</v>
      </c>
      <c r="S5" s="115">
        <v>32281</v>
      </c>
      <c r="T5" s="194">
        <f aca="true" t="shared" si="0" ref="T5:T19">(S5/R5)-1</f>
        <v>0.2106585658565856</v>
      </c>
      <c r="U5" s="186">
        <v>36466</v>
      </c>
      <c r="V5" s="195">
        <f aca="true" t="shared" si="1" ref="V5:V15">(U5/S5)-1</f>
        <v>0.12964282395217008</v>
      </c>
    </row>
    <row r="6" spans="1:22" ht="18" customHeight="1">
      <c r="A6" s="47" t="s">
        <v>41</v>
      </c>
      <c r="B6" s="109">
        <v>9756</v>
      </c>
      <c r="C6" s="99">
        <v>11053</v>
      </c>
      <c r="D6" s="99">
        <v>12655</v>
      </c>
      <c r="E6" s="99">
        <v>12110</v>
      </c>
      <c r="F6" s="99">
        <v>14815</v>
      </c>
      <c r="G6" s="99">
        <f>15542-1303</f>
        <v>14239</v>
      </c>
      <c r="H6" s="99">
        <v>14236</v>
      </c>
      <c r="I6" s="99">
        <v>14539</v>
      </c>
      <c r="J6" s="99">
        <v>15608</v>
      </c>
      <c r="K6" s="109">
        <v>15554</v>
      </c>
      <c r="L6" s="64">
        <v>17868</v>
      </c>
      <c r="M6" s="64">
        <v>17832</v>
      </c>
      <c r="N6" s="64">
        <v>17372</v>
      </c>
      <c r="O6" s="64">
        <v>15781</v>
      </c>
      <c r="P6" s="64">
        <v>18809</v>
      </c>
      <c r="Q6" s="64">
        <v>24511</v>
      </c>
      <c r="R6" s="64">
        <v>26506</v>
      </c>
      <c r="S6" s="115">
        <v>32291</v>
      </c>
      <c r="T6" s="194">
        <f t="shared" si="0"/>
        <v>0.21825247113861002</v>
      </c>
      <c r="U6" s="186">
        <v>36211</v>
      </c>
      <c r="V6" s="195">
        <f t="shared" si="1"/>
        <v>0.12139605462822467</v>
      </c>
    </row>
    <row r="7" spans="1:22" ht="18" customHeight="1">
      <c r="A7" s="47" t="s">
        <v>42</v>
      </c>
      <c r="B7" s="109">
        <v>8180</v>
      </c>
      <c r="C7" s="99">
        <v>9737</v>
      </c>
      <c r="D7" s="99">
        <v>11429</v>
      </c>
      <c r="E7" s="99">
        <v>12131</v>
      </c>
      <c r="F7" s="99">
        <v>14042</v>
      </c>
      <c r="G7" s="99">
        <v>13613</v>
      </c>
      <c r="H7" s="99">
        <f>13932-661</f>
        <v>13271</v>
      </c>
      <c r="I7" s="99">
        <v>13023</v>
      </c>
      <c r="J7" s="99">
        <v>14691</v>
      </c>
      <c r="K7" s="109">
        <v>14131</v>
      </c>
      <c r="L7" s="64">
        <v>16725</v>
      </c>
      <c r="M7" s="64">
        <v>16958</v>
      </c>
      <c r="N7" s="64">
        <v>16224</v>
      </c>
      <c r="O7" s="64">
        <v>14766</v>
      </c>
      <c r="P7" s="64">
        <v>18544</v>
      </c>
      <c r="Q7" s="64">
        <v>24127</v>
      </c>
      <c r="R7" s="64">
        <v>25390</v>
      </c>
      <c r="S7" s="115">
        <v>31796</v>
      </c>
      <c r="T7" s="194">
        <f t="shared" si="0"/>
        <v>0.25230405671524214</v>
      </c>
      <c r="U7" s="186">
        <v>35234</v>
      </c>
      <c r="V7" s="195">
        <f t="shared" si="1"/>
        <v>0.1081268084035727</v>
      </c>
    </row>
    <row r="8" spans="1:22" ht="18" customHeight="1">
      <c r="A8" s="47" t="s">
        <v>43</v>
      </c>
      <c r="B8" s="109">
        <v>4784</v>
      </c>
      <c r="C8" s="99">
        <v>6373</v>
      </c>
      <c r="D8" s="99">
        <v>7704</v>
      </c>
      <c r="E8" s="99">
        <v>7688</v>
      </c>
      <c r="F8" s="99">
        <v>8442</v>
      </c>
      <c r="G8" s="99">
        <f>9893-687</f>
        <v>9206</v>
      </c>
      <c r="H8" s="99">
        <f>9015-407</f>
        <v>8608</v>
      </c>
      <c r="I8" s="99">
        <v>7645</v>
      </c>
      <c r="J8" s="101" t="s">
        <v>0</v>
      </c>
      <c r="K8" s="109">
        <v>8906</v>
      </c>
      <c r="L8" s="64">
        <v>11089</v>
      </c>
      <c r="M8" s="64">
        <v>12239</v>
      </c>
      <c r="N8" s="64">
        <v>11566</v>
      </c>
      <c r="O8" s="64">
        <v>10318</v>
      </c>
      <c r="P8" s="64">
        <v>14862</v>
      </c>
      <c r="Q8" s="64">
        <v>18931</v>
      </c>
      <c r="R8" s="64">
        <v>21153</v>
      </c>
      <c r="S8" s="115">
        <v>27901</v>
      </c>
      <c r="T8" s="194">
        <f t="shared" si="0"/>
        <v>0.31900912400132375</v>
      </c>
      <c r="U8" s="186">
        <v>31887</v>
      </c>
      <c r="V8" s="195">
        <f t="shared" si="1"/>
        <v>0.1428622630013261</v>
      </c>
    </row>
    <row r="9" spans="1:22" ht="18" customHeight="1">
      <c r="A9" s="47" t="s">
        <v>44</v>
      </c>
      <c r="B9" s="109">
        <v>4863</v>
      </c>
      <c r="C9" s="99">
        <v>6134</v>
      </c>
      <c r="D9" s="99">
        <v>7510</v>
      </c>
      <c r="E9" s="99">
        <v>7129</v>
      </c>
      <c r="F9" s="99">
        <v>7827</v>
      </c>
      <c r="G9" s="99">
        <v>8703</v>
      </c>
      <c r="H9" s="99">
        <f>8652-291</f>
        <v>8361</v>
      </c>
      <c r="I9" s="99">
        <v>6862</v>
      </c>
      <c r="J9" s="99">
        <v>8573</v>
      </c>
      <c r="K9" s="109">
        <v>7739</v>
      </c>
      <c r="L9" s="64">
        <v>10521</v>
      </c>
      <c r="M9" s="64">
        <v>10922</v>
      </c>
      <c r="N9" s="64">
        <v>9409</v>
      </c>
      <c r="O9" s="64">
        <v>8802</v>
      </c>
      <c r="P9" s="64">
        <v>13253</v>
      </c>
      <c r="Q9" s="64">
        <v>16873</v>
      </c>
      <c r="R9" s="64">
        <v>18627</v>
      </c>
      <c r="S9" s="115">
        <v>24512</v>
      </c>
      <c r="T9" s="194">
        <f t="shared" si="0"/>
        <v>0.31593922800236207</v>
      </c>
      <c r="U9" s="186">
        <v>27981</v>
      </c>
      <c r="V9" s="195">
        <f t="shared" si="1"/>
        <v>0.14152251958224538</v>
      </c>
    </row>
    <row r="10" spans="1:22" ht="18" customHeight="1" thickBot="1">
      <c r="A10" s="160" t="s">
        <v>45</v>
      </c>
      <c r="B10" s="385">
        <v>5189</v>
      </c>
      <c r="C10" s="386">
        <v>6841</v>
      </c>
      <c r="D10" s="386">
        <v>7867</v>
      </c>
      <c r="E10" s="386">
        <v>7712</v>
      </c>
      <c r="F10" s="386">
        <v>8201</v>
      </c>
      <c r="G10" s="386">
        <v>8720</v>
      </c>
      <c r="H10" s="386">
        <f>8952-233</f>
        <v>8719</v>
      </c>
      <c r="I10" s="386">
        <v>7303</v>
      </c>
      <c r="J10" s="386">
        <v>8243</v>
      </c>
      <c r="K10" s="385">
        <v>8029</v>
      </c>
      <c r="L10" s="161">
        <v>10762</v>
      </c>
      <c r="M10" s="161">
        <v>10769</v>
      </c>
      <c r="N10" s="161">
        <v>9820</v>
      </c>
      <c r="O10" s="161">
        <v>9044</v>
      </c>
      <c r="P10" s="161">
        <v>14394</v>
      </c>
      <c r="Q10" s="161">
        <v>17593</v>
      </c>
      <c r="R10" s="161">
        <v>19276</v>
      </c>
      <c r="S10" s="162">
        <v>24090</v>
      </c>
      <c r="T10" s="196">
        <f t="shared" si="0"/>
        <v>0.24974061008507986</v>
      </c>
      <c r="U10" s="187">
        <v>28290</v>
      </c>
      <c r="V10" s="197">
        <f t="shared" si="1"/>
        <v>0.17434620174346205</v>
      </c>
    </row>
    <row r="11" spans="1:22" ht="45.75" thickBot="1">
      <c r="A11" s="66" t="s">
        <v>68</v>
      </c>
      <c r="B11" s="390">
        <f aca="true" t="shared" si="2" ref="B11:L11">AVERAGE(B5:B10)</f>
        <v>7117</v>
      </c>
      <c r="C11" s="391">
        <f t="shared" si="2"/>
        <v>8526</v>
      </c>
      <c r="D11" s="391">
        <f t="shared" si="2"/>
        <v>10068.5</v>
      </c>
      <c r="E11" s="391">
        <f t="shared" si="2"/>
        <v>9766.666666666666</v>
      </c>
      <c r="F11" s="391">
        <f t="shared" si="2"/>
        <v>11329.333333333334</v>
      </c>
      <c r="G11" s="391">
        <f t="shared" si="2"/>
        <v>11441.333333333334</v>
      </c>
      <c r="H11" s="391">
        <f t="shared" si="2"/>
        <v>11293.333333333334</v>
      </c>
      <c r="I11" s="391">
        <f t="shared" si="2"/>
        <v>10652.833333333334</v>
      </c>
      <c r="J11" s="391">
        <f t="shared" si="2"/>
        <v>12484</v>
      </c>
      <c r="K11" s="390">
        <f t="shared" si="2"/>
        <v>11592</v>
      </c>
      <c r="L11" s="392">
        <f t="shared" si="2"/>
        <v>14197.5</v>
      </c>
      <c r="M11" s="393">
        <f aca="true" t="shared" si="3" ref="M11:U11">AVERAGE(M5:M10)</f>
        <v>14518.5</v>
      </c>
      <c r="N11" s="393">
        <f t="shared" si="3"/>
        <v>13732</v>
      </c>
      <c r="O11" s="393">
        <f t="shared" si="3"/>
        <v>12548.166666666666</v>
      </c>
      <c r="P11" s="393">
        <f t="shared" si="3"/>
        <v>16350</v>
      </c>
      <c r="Q11" s="393">
        <f t="shared" si="3"/>
        <v>21142</v>
      </c>
      <c r="R11" s="393">
        <f t="shared" si="3"/>
        <v>22936</v>
      </c>
      <c r="S11" s="393">
        <f t="shared" si="3"/>
        <v>28811.833333333332</v>
      </c>
      <c r="T11" s="394">
        <f t="shared" si="0"/>
        <v>0.25618387396814324</v>
      </c>
      <c r="U11" s="393">
        <f t="shared" si="3"/>
        <v>32678.166666666668</v>
      </c>
      <c r="V11" s="395">
        <f t="shared" si="1"/>
        <v>0.1341925482006816</v>
      </c>
    </row>
    <row r="12" spans="1:22" ht="18" customHeight="1">
      <c r="A12" s="159" t="s">
        <v>49</v>
      </c>
      <c r="B12" s="387">
        <v>6680</v>
      </c>
      <c r="C12" s="388">
        <v>7962</v>
      </c>
      <c r="D12" s="388">
        <v>8980</v>
      </c>
      <c r="E12" s="388">
        <v>8604</v>
      </c>
      <c r="F12" s="388">
        <v>9632</v>
      </c>
      <c r="G12" s="388">
        <f>10233-352</f>
        <v>9881</v>
      </c>
      <c r="H12" s="388">
        <f>296+9999-310</f>
        <v>9985</v>
      </c>
      <c r="I12" s="388">
        <v>8758</v>
      </c>
      <c r="J12" s="388">
        <v>9772</v>
      </c>
      <c r="K12" s="387">
        <v>9509</v>
      </c>
      <c r="L12" s="163">
        <v>11705</v>
      </c>
      <c r="M12" s="163">
        <v>11835</v>
      </c>
      <c r="N12" s="163">
        <v>10821</v>
      </c>
      <c r="O12" s="163">
        <v>10313</v>
      </c>
      <c r="P12" s="163">
        <v>15817</v>
      </c>
      <c r="Q12" s="163">
        <v>18443</v>
      </c>
      <c r="R12" s="163">
        <v>20024</v>
      </c>
      <c r="S12" s="164">
        <v>25399</v>
      </c>
      <c r="T12" s="198">
        <f t="shared" si="0"/>
        <v>0.2684278865361567</v>
      </c>
      <c r="U12" s="188">
        <v>29528</v>
      </c>
      <c r="V12" s="389">
        <f t="shared" si="1"/>
        <v>0.16256545533288702</v>
      </c>
    </row>
    <row r="13" spans="1:22" ht="18" customHeight="1">
      <c r="A13" s="47" t="s">
        <v>50</v>
      </c>
      <c r="B13" s="109">
        <v>6621</v>
      </c>
      <c r="C13" s="99">
        <v>7849</v>
      </c>
      <c r="D13" s="99">
        <v>8752</v>
      </c>
      <c r="E13" s="99">
        <v>8486</v>
      </c>
      <c r="F13" s="99">
        <v>9969</v>
      </c>
      <c r="G13" s="99">
        <v>10059</v>
      </c>
      <c r="H13" s="99">
        <f>10342-300</f>
        <v>10042</v>
      </c>
      <c r="I13" s="99">
        <v>8633</v>
      </c>
      <c r="J13" s="99">
        <v>9178</v>
      </c>
      <c r="K13" s="109">
        <v>9132</v>
      </c>
      <c r="L13" s="64">
        <v>11668</v>
      </c>
      <c r="M13" s="64">
        <v>11752</v>
      </c>
      <c r="N13" s="64">
        <v>10761</v>
      </c>
      <c r="O13" s="64">
        <v>10335</v>
      </c>
      <c r="P13" s="64">
        <v>15904</v>
      </c>
      <c r="Q13" s="64">
        <v>17925</v>
      </c>
      <c r="R13" s="64">
        <v>20501</v>
      </c>
      <c r="S13" s="115">
        <v>24866</v>
      </c>
      <c r="T13" s="194">
        <f t="shared" si="0"/>
        <v>0.21291644310033653</v>
      </c>
      <c r="U13" s="186">
        <v>30345</v>
      </c>
      <c r="V13" s="195">
        <f t="shared" si="1"/>
        <v>0.22034102790959542</v>
      </c>
    </row>
    <row r="14" spans="1:22" ht="18" customHeight="1">
      <c r="A14" s="47" t="s">
        <v>51</v>
      </c>
      <c r="B14" s="109">
        <v>6233</v>
      </c>
      <c r="C14" s="99">
        <v>7440</v>
      </c>
      <c r="D14" s="99">
        <v>8025</v>
      </c>
      <c r="E14" s="99">
        <v>8409</v>
      </c>
      <c r="F14" s="99">
        <v>9418</v>
      </c>
      <c r="G14" s="99">
        <v>9135</v>
      </c>
      <c r="H14" s="99">
        <f>9554-295</f>
        <v>9259</v>
      </c>
      <c r="I14" s="99">
        <v>7951</v>
      </c>
      <c r="J14" s="99">
        <v>8299</v>
      </c>
      <c r="K14" s="109">
        <v>8609</v>
      </c>
      <c r="L14" s="64">
        <v>11135</v>
      </c>
      <c r="M14" s="64">
        <v>11508</v>
      </c>
      <c r="N14" s="64">
        <v>10617</v>
      </c>
      <c r="O14" s="64">
        <v>9697</v>
      </c>
      <c r="P14" s="64">
        <v>15896</v>
      </c>
      <c r="Q14" s="64">
        <v>17103</v>
      </c>
      <c r="R14" s="64">
        <v>20171</v>
      </c>
      <c r="S14" s="115">
        <v>24913</v>
      </c>
      <c r="T14" s="194">
        <f t="shared" si="0"/>
        <v>0.2350899806653115</v>
      </c>
      <c r="U14" s="186">
        <v>29550</v>
      </c>
      <c r="V14" s="195">
        <f t="shared" si="1"/>
        <v>0.18612772448119452</v>
      </c>
    </row>
    <row r="15" spans="1:22" ht="18" customHeight="1">
      <c r="A15" s="47" t="s">
        <v>52</v>
      </c>
      <c r="B15" s="109">
        <v>6119</v>
      </c>
      <c r="C15" s="99">
        <v>7280</v>
      </c>
      <c r="D15" s="99">
        <v>7475</v>
      </c>
      <c r="E15" s="99">
        <v>7732</v>
      </c>
      <c r="F15" s="99">
        <v>7380</v>
      </c>
      <c r="G15" s="99">
        <f>8844-329</f>
        <v>8515</v>
      </c>
      <c r="H15" s="99">
        <f>9483-298</f>
        <v>9185</v>
      </c>
      <c r="I15" s="99">
        <v>7450</v>
      </c>
      <c r="J15" s="99">
        <v>7894</v>
      </c>
      <c r="K15" s="109">
        <v>8105</v>
      </c>
      <c r="L15" s="64">
        <v>9847</v>
      </c>
      <c r="M15" s="64">
        <v>9396</v>
      </c>
      <c r="N15" s="64">
        <v>8345</v>
      </c>
      <c r="O15" s="64">
        <v>8194</v>
      </c>
      <c r="P15" s="64">
        <v>14225</v>
      </c>
      <c r="Q15" s="64">
        <v>15052</v>
      </c>
      <c r="R15" s="64">
        <v>18540</v>
      </c>
      <c r="S15" s="115">
        <v>22957</v>
      </c>
      <c r="T15" s="194">
        <f t="shared" si="0"/>
        <v>0.2382416396979503</v>
      </c>
      <c r="U15" s="186">
        <f>'applicants by sex,month 12-13'!K15</f>
        <v>27093</v>
      </c>
      <c r="V15" s="195">
        <f t="shared" si="1"/>
        <v>0.1801629132726401</v>
      </c>
    </row>
    <row r="16" spans="1:22" ht="18" customHeight="1">
      <c r="A16" s="47" t="s">
        <v>53</v>
      </c>
      <c r="B16" s="109">
        <v>6416</v>
      </c>
      <c r="C16" s="99">
        <v>8908</v>
      </c>
      <c r="D16" s="99">
        <v>8589</v>
      </c>
      <c r="E16" s="99">
        <v>9186</v>
      </c>
      <c r="F16" s="99">
        <f>10259-1134</f>
        <v>9125</v>
      </c>
      <c r="G16" s="99">
        <v>9905</v>
      </c>
      <c r="H16" s="99">
        <v>12316</v>
      </c>
      <c r="I16" s="99">
        <v>10392</v>
      </c>
      <c r="J16" s="99">
        <v>10560</v>
      </c>
      <c r="K16" s="109">
        <v>10575</v>
      </c>
      <c r="L16" s="64">
        <v>13614</v>
      </c>
      <c r="M16" s="64">
        <v>12990</v>
      </c>
      <c r="N16" s="64">
        <v>12052</v>
      </c>
      <c r="O16" s="64">
        <v>11853</v>
      </c>
      <c r="P16" s="64">
        <v>19333</v>
      </c>
      <c r="Q16" s="64">
        <v>20238</v>
      </c>
      <c r="R16" s="64">
        <v>24943</v>
      </c>
      <c r="S16" s="115">
        <v>29393</v>
      </c>
      <c r="T16" s="194">
        <f t="shared" si="0"/>
        <v>0.17840676742973982</v>
      </c>
      <c r="U16" s="186">
        <f>'applicants by sex,month 12-13'!K16</f>
        <v>32643</v>
      </c>
      <c r="V16" s="195">
        <f>(U16/S16)-1</f>
        <v>0.11057054400707655</v>
      </c>
    </row>
    <row r="17" spans="1:22" ht="18" customHeight="1" thickBot="1">
      <c r="A17" s="160" t="s">
        <v>54</v>
      </c>
      <c r="B17" s="385">
        <v>8226</v>
      </c>
      <c r="C17" s="386">
        <v>11214</v>
      </c>
      <c r="D17" s="386">
        <v>9915</v>
      </c>
      <c r="E17" s="386">
        <v>12477</v>
      </c>
      <c r="F17" s="386">
        <f>12981-1262</f>
        <v>11719</v>
      </c>
      <c r="G17" s="386">
        <v>13133</v>
      </c>
      <c r="H17" s="386">
        <f>16077-775</f>
        <v>15302</v>
      </c>
      <c r="I17" s="386">
        <v>13658</v>
      </c>
      <c r="J17" s="386">
        <v>13824</v>
      </c>
      <c r="K17" s="385">
        <v>14111</v>
      </c>
      <c r="L17" s="161">
        <v>16294</v>
      </c>
      <c r="M17" s="161">
        <v>15903</v>
      </c>
      <c r="N17" s="161">
        <v>15648</v>
      </c>
      <c r="O17" s="161">
        <v>15669</v>
      </c>
      <c r="P17" s="161">
        <v>22938</v>
      </c>
      <c r="Q17" s="161">
        <v>24154</v>
      </c>
      <c r="R17" s="161">
        <v>29034</v>
      </c>
      <c r="S17" s="162">
        <v>33374</v>
      </c>
      <c r="T17" s="196">
        <f t="shared" si="0"/>
        <v>0.14947992009368316</v>
      </c>
      <c r="U17" s="186">
        <f>'applicants by sex,month 12-13'!K17</f>
        <v>36716</v>
      </c>
      <c r="V17" s="396">
        <f>(U17/S17)-1</f>
        <v>0.1001378318451489</v>
      </c>
    </row>
    <row r="18" spans="1:22" ht="45.75" thickBot="1">
      <c r="A18" s="66" t="s">
        <v>69</v>
      </c>
      <c r="B18" s="390">
        <f aca="true" t="shared" si="4" ref="B18:L18">AVERAGE(B12:B17)</f>
        <v>6715.833333333333</v>
      </c>
      <c r="C18" s="391">
        <f t="shared" si="4"/>
        <v>8442.166666666666</v>
      </c>
      <c r="D18" s="391">
        <f t="shared" si="4"/>
        <v>8622.666666666666</v>
      </c>
      <c r="E18" s="391">
        <f t="shared" si="4"/>
        <v>9149</v>
      </c>
      <c r="F18" s="391">
        <f t="shared" si="4"/>
        <v>9540.5</v>
      </c>
      <c r="G18" s="391">
        <f t="shared" si="4"/>
        <v>10104.666666666666</v>
      </c>
      <c r="H18" s="391">
        <f t="shared" si="4"/>
        <v>11014.833333333334</v>
      </c>
      <c r="I18" s="391">
        <f t="shared" si="4"/>
        <v>9473.666666666666</v>
      </c>
      <c r="J18" s="391">
        <f t="shared" si="4"/>
        <v>9921.166666666666</v>
      </c>
      <c r="K18" s="390">
        <f t="shared" si="4"/>
        <v>10006.833333333334</v>
      </c>
      <c r="L18" s="393">
        <f t="shared" si="4"/>
        <v>12377.166666666666</v>
      </c>
      <c r="M18" s="393">
        <f aca="true" t="shared" si="5" ref="M18:S18">AVERAGE(M12:M17)</f>
        <v>12230.666666666666</v>
      </c>
      <c r="N18" s="393">
        <f t="shared" si="5"/>
        <v>11374</v>
      </c>
      <c r="O18" s="393">
        <f t="shared" si="5"/>
        <v>11010.166666666666</v>
      </c>
      <c r="P18" s="393">
        <f t="shared" si="5"/>
        <v>17352.166666666668</v>
      </c>
      <c r="Q18" s="393">
        <f t="shared" si="5"/>
        <v>18819.166666666668</v>
      </c>
      <c r="R18" s="393">
        <f t="shared" si="5"/>
        <v>22202.166666666668</v>
      </c>
      <c r="S18" s="393">
        <f t="shared" si="5"/>
        <v>26817</v>
      </c>
      <c r="T18" s="398">
        <f t="shared" si="0"/>
        <v>0.2078550892180191</v>
      </c>
      <c r="U18" s="399">
        <f>AVERAGE(U12:U17)</f>
        <v>30979.166666666668</v>
      </c>
      <c r="V18" s="564">
        <f>(U18/S18)-1</f>
        <v>0.15520627462679149</v>
      </c>
    </row>
    <row r="19" spans="1:22" ht="45.75" thickBot="1">
      <c r="A19" s="66" t="s">
        <v>70</v>
      </c>
      <c r="B19" s="113">
        <f aca="true" t="shared" si="6" ref="B19:L19">AVERAGE(B5:B10,B12:B17)</f>
        <v>6916.416666666667</v>
      </c>
      <c r="C19" s="112">
        <f t="shared" si="6"/>
        <v>8484.083333333334</v>
      </c>
      <c r="D19" s="112">
        <f t="shared" si="6"/>
        <v>9345.583333333334</v>
      </c>
      <c r="E19" s="112">
        <f t="shared" si="6"/>
        <v>9457.833333333334</v>
      </c>
      <c r="F19" s="112">
        <f t="shared" si="6"/>
        <v>10434.916666666666</v>
      </c>
      <c r="G19" s="112">
        <f t="shared" si="6"/>
        <v>10773</v>
      </c>
      <c r="H19" s="112">
        <f t="shared" si="6"/>
        <v>11154.083333333334</v>
      </c>
      <c r="I19" s="112">
        <f t="shared" si="6"/>
        <v>10063.25</v>
      </c>
      <c r="J19" s="112">
        <f t="shared" si="6"/>
        <v>11086.09090909091</v>
      </c>
      <c r="K19" s="113">
        <f t="shared" si="6"/>
        <v>10799.416666666666</v>
      </c>
      <c r="L19" s="183">
        <f t="shared" si="6"/>
        <v>13287.333333333334</v>
      </c>
      <c r="M19" s="393">
        <f aca="true" t="shared" si="7" ref="M19:S19">AVERAGE(M5:M10,M12:M17)</f>
        <v>13374.583333333334</v>
      </c>
      <c r="N19" s="393">
        <f t="shared" si="7"/>
        <v>12553</v>
      </c>
      <c r="O19" s="393">
        <f t="shared" si="7"/>
        <v>11779.166666666666</v>
      </c>
      <c r="P19" s="393">
        <f t="shared" si="7"/>
        <v>16851.083333333332</v>
      </c>
      <c r="Q19" s="393">
        <f t="shared" si="7"/>
        <v>19980.583333333332</v>
      </c>
      <c r="R19" s="393">
        <f t="shared" si="7"/>
        <v>22569.083333333332</v>
      </c>
      <c r="S19" s="393">
        <f t="shared" si="7"/>
        <v>27814.416666666668</v>
      </c>
      <c r="T19" s="398">
        <f t="shared" si="0"/>
        <v>0.23241233398195926</v>
      </c>
      <c r="U19" s="399">
        <f>AVERAGE(U11,U18)</f>
        <v>31828.666666666668</v>
      </c>
      <c r="V19" s="564">
        <f>(U19/S19)-1</f>
        <v>0.14432263843989768</v>
      </c>
    </row>
    <row r="20" ht="12.75">
      <c r="A20" s="3"/>
    </row>
    <row r="21" ht="14.25" customHeight="1">
      <c r="A21" s="58"/>
    </row>
    <row r="23" spans="14:15" ht="12.75">
      <c r="N23" s="25"/>
      <c r="O23" s="25"/>
    </row>
    <row r="24" spans="1:15" ht="12.75">
      <c r="A24" s="56"/>
      <c r="N24" s="25"/>
      <c r="O24" s="25"/>
    </row>
    <row r="27" ht="12.75">
      <c r="A27" s="56"/>
    </row>
    <row r="28" spans="1:19" ht="14.25">
      <c r="A28" s="19"/>
      <c r="Q28" s="25"/>
      <c r="R28" s="25"/>
      <c r="S28" s="25"/>
    </row>
    <row r="29" spans="1:23" ht="12.75">
      <c r="A29" s="158">
        <f>'applicants by sex,month 12-13'!A22</f>
        <v>41687</v>
      </c>
      <c r="S29" s="41"/>
      <c r="T29" s="589" t="s">
        <v>34</v>
      </c>
      <c r="U29" s="589"/>
      <c r="V29" s="52"/>
      <c r="W29" s="52"/>
    </row>
    <row r="30" spans="1:23" ht="12.75">
      <c r="A30" s="56"/>
      <c r="S30" s="589" t="s">
        <v>35</v>
      </c>
      <c r="T30" s="589"/>
      <c r="U30" s="589"/>
      <c r="V30" s="589"/>
      <c r="W30" s="50"/>
    </row>
  </sheetData>
  <sheetProtection/>
  <mergeCells count="4">
    <mergeCell ref="T29:U29"/>
    <mergeCell ref="S30:V30"/>
    <mergeCell ref="F3:Q3"/>
    <mergeCell ref="A2:V2"/>
  </mergeCells>
  <printOptions/>
  <pageMargins left="0" right="0" top="0.98425196850393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13.8515625" style="0" customWidth="1"/>
    <col min="2" max="2" width="13.7109375" style="0" hidden="1" customWidth="1"/>
    <col min="3" max="3" width="10.7109375" style="0" hidden="1" customWidth="1"/>
    <col min="4" max="4" width="13.140625" style="0" hidden="1" customWidth="1"/>
    <col min="5" max="5" width="12.00390625" style="0" hidden="1" customWidth="1"/>
    <col min="6" max="6" width="6.8515625" style="0" hidden="1" customWidth="1"/>
    <col min="7" max="7" width="7.28125" style="0" customWidth="1"/>
    <col min="8" max="8" width="7.8515625" style="0" customWidth="1"/>
    <col min="9" max="9" width="7.00390625" style="0" customWidth="1"/>
    <col min="10" max="10" width="7.421875" style="0" customWidth="1"/>
    <col min="11" max="11" width="6.421875" style="0" customWidth="1"/>
    <col min="12" max="12" width="8.57421875" style="0" customWidth="1"/>
    <col min="13" max="13" width="7.57421875" style="0" customWidth="1"/>
    <col min="14" max="14" width="7.7109375" style="0" customWidth="1"/>
    <col min="15" max="15" width="6.8515625" style="0" customWidth="1"/>
    <col min="16" max="16" width="7.421875" style="0" customWidth="1"/>
    <col min="17" max="17" width="6.00390625" style="0" customWidth="1"/>
    <col min="18" max="18" width="8.57421875" style="0" customWidth="1"/>
    <col min="19" max="19" width="7.28125" style="0" customWidth="1"/>
    <col min="20" max="20" width="7.8515625" style="0" customWidth="1"/>
    <col min="21" max="21" width="7.00390625" style="0" customWidth="1"/>
    <col min="22" max="22" width="7.421875" style="0" customWidth="1"/>
    <col min="23" max="23" width="6.7109375" style="0" customWidth="1"/>
    <col min="24" max="24" width="8.57421875" style="0" customWidth="1"/>
  </cols>
  <sheetData>
    <row r="1" spans="1:24" ht="20.25" customHeight="1">
      <c r="A1" s="597" t="s">
        <v>123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</row>
    <row r="2" spans="1:7" ht="13.5" thickBot="1">
      <c r="A2" s="604"/>
      <c r="B2" s="604"/>
      <c r="C2" s="4"/>
      <c r="D2" s="4"/>
      <c r="E2" s="4"/>
      <c r="F2" s="4"/>
      <c r="G2" s="4"/>
    </row>
    <row r="3" spans="1:24" ht="19.5" customHeight="1">
      <c r="A3" s="400"/>
      <c r="B3" s="599">
        <v>2010</v>
      </c>
      <c r="C3" s="600"/>
      <c r="D3" s="600"/>
      <c r="E3" s="600"/>
      <c r="F3" s="607"/>
      <c r="G3" s="600">
        <v>2011</v>
      </c>
      <c r="H3" s="600"/>
      <c r="I3" s="600"/>
      <c r="J3" s="600"/>
      <c r="K3" s="600"/>
      <c r="L3" s="605" t="s">
        <v>66</v>
      </c>
      <c r="M3" s="599">
        <v>2012</v>
      </c>
      <c r="N3" s="600"/>
      <c r="O3" s="600"/>
      <c r="P3" s="600"/>
      <c r="Q3" s="601"/>
      <c r="R3" s="602" t="s">
        <v>67</v>
      </c>
      <c r="S3" s="592">
        <v>2013</v>
      </c>
      <c r="T3" s="593"/>
      <c r="U3" s="593"/>
      <c r="V3" s="593"/>
      <c r="W3" s="594"/>
      <c r="X3" s="595" t="s">
        <v>95</v>
      </c>
    </row>
    <row r="4" spans="1:24" ht="47.25" customHeight="1" thickBot="1">
      <c r="A4" s="402" t="s">
        <v>39</v>
      </c>
      <c r="B4" s="407" t="s">
        <v>63</v>
      </c>
      <c r="C4" s="404" t="s">
        <v>73</v>
      </c>
      <c r="D4" s="404" t="s">
        <v>72</v>
      </c>
      <c r="E4" s="405" t="s">
        <v>64</v>
      </c>
      <c r="F4" s="416" t="s">
        <v>65</v>
      </c>
      <c r="G4" s="403" t="s">
        <v>63</v>
      </c>
      <c r="H4" s="404" t="s">
        <v>73</v>
      </c>
      <c r="I4" s="404" t="s">
        <v>72</v>
      </c>
      <c r="J4" s="404" t="s">
        <v>64</v>
      </c>
      <c r="K4" s="406" t="s">
        <v>65</v>
      </c>
      <c r="L4" s="606"/>
      <c r="M4" s="407" t="s">
        <v>63</v>
      </c>
      <c r="N4" s="404" t="s">
        <v>73</v>
      </c>
      <c r="O4" s="404" t="s">
        <v>72</v>
      </c>
      <c r="P4" s="404" t="s">
        <v>64</v>
      </c>
      <c r="Q4" s="408" t="s">
        <v>65</v>
      </c>
      <c r="R4" s="603"/>
      <c r="S4" s="407" t="s">
        <v>63</v>
      </c>
      <c r="T4" s="404" t="s">
        <v>73</v>
      </c>
      <c r="U4" s="404" t="s">
        <v>72</v>
      </c>
      <c r="V4" s="404" t="s">
        <v>64</v>
      </c>
      <c r="W4" s="408" t="s">
        <v>65</v>
      </c>
      <c r="X4" s="596"/>
    </row>
    <row r="5" spans="1:24" ht="18" customHeight="1">
      <c r="A5" s="159" t="s">
        <v>40</v>
      </c>
      <c r="B5" s="401">
        <f>44+14709+37</f>
        <v>14790</v>
      </c>
      <c r="C5" s="358">
        <v>3443</v>
      </c>
      <c r="D5" s="358">
        <v>1510</v>
      </c>
      <c r="E5" s="358">
        <v>277</v>
      </c>
      <c r="F5" s="417">
        <f aca="true" t="shared" si="0" ref="F5:F10">B5+C5+D5+E5</f>
        <v>20020</v>
      </c>
      <c r="G5" s="357">
        <v>14225</v>
      </c>
      <c r="H5" s="358">
        <v>4452</v>
      </c>
      <c r="I5" s="358">
        <v>1451</v>
      </c>
      <c r="J5" s="358">
        <v>223</v>
      </c>
      <c r="K5" s="358">
        <f>G5+H5+I5+J5</f>
        <v>20351</v>
      </c>
      <c r="L5" s="359">
        <f>(K5/F5)-1</f>
        <v>0.016533466533466434</v>
      </c>
      <c r="M5" s="401">
        <v>17446</v>
      </c>
      <c r="N5" s="358">
        <v>6202</v>
      </c>
      <c r="O5" s="358">
        <v>669</v>
      </c>
      <c r="P5" s="358">
        <v>254</v>
      </c>
      <c r="Q5" s="358">
        <f aca="true" t="shared" si="1" ref="Q5:Q17">M5+N5+O5+P5</f>
        <v>24571</v>
      </c>
      <c r="R5" s="359">
        <f aca="true" t="shared" si="2" ref="R5:R19">(Q5/K5)-1</f>
        <v>0.2073608176502384</v>
      </c>
      <c r="S5" s="401">
        <v>18695</v>
      </c>
      <c r="T5" s="358">
        <v>6961</v>
      </c>
      <c r="U5" s="358">
        <v>731</v>
      </c>
      <c r="V5" s="358">
        <v>233</v>
      </c>
      <c r="W5" s="358">
        <f>SUM(S5:V5)</f>
        <v>26620</v>
      </c>
      <c r="X5" s="359">
        <f aca="true" t="shared" si="3" ref="X5:X11">(W5/Q5)-1</f>
        <v>0.0833909893777216</v>
      </c>
    </row>
    <row r="6" spans="1:24" ht="18" customHeight="1">
      <c r="A6" s="47" t="s">
        <v>41</v>
      </c>
      <c r="B6" s="360">
        <f>45+13246+30</f>
        <v>13321</v>
      </c>
      <c r="C6" s="361">
        <v>3534</v>
      </c>
      <c r="D6" s="361">
        <v>1540</v>
      </c>
      <c r="E6" s="361">
        <v>258</v>
      </c>
      <c r="F6" s="418">
        <f t="shared" si="0"/>
        <v>18653</v>
      </c>
      <c r="G6" s="363">
        <v>13628</v>
      </c>
      <c r="H6" s="361">
        <v>4510</v>
      </c>
      <c r="I6" s="361">
        <v>1475</v>
      </c>
      <c r="J6" s="361">
        <v>222</v>
      </c>
      <c r="K6" s="361">
        <f aca="true" t="shared" si="4" ref="K6:K17">G6+H6+I6+J6</f>
        <v>19835</v>
      </c>
      <c r="L6" s="362">
        <f aca="true" t="shared" si="5" ref="L6:L19">(K6/F6)-1</f>
        <v>0.06336782287031584</v>
      </c>
      <c r="M6" s="360">
        <v>16730</v>
      </c>
      <c r="N6" s="361">
        <v>6355</v>
      </c>
      <c r="O6" s="361">
        <v>682</v>
      </c>
      <c r="P6" s="361">
        <v>232</v>
      </c>
      <c r="Q6" s="361">
        <f t="shared" si="1"/>
        <v>23999</v>
      </c>
      <c r="R6" s="362">
        <f t="shared" si="2"/>
        <v>0.20993193849256375</v>
      </c>
      <c r="S6" s="360">
        <v>18013</v>
      </c>
      <c r="T6" s="361">
        <v>7061</v>
      </c>
      <c r="U6" s="361">
        <v>746</v>
      </c>
      <c r="V6" s="361">
        <v>212</v>
      </c>
      <c r="W6" s="358">
        <f>SUM(S6:V6)</f>
        <v>26032</v>
      </c>
      <c r="X6" s="362">
        <f t="shared" si="3"/>
        <v>0.08471186299429134</v>
      </c>
    </row>
    <row r="7" spans="1:24" ht="18" customHeight="1">
      <c r="A7" s="47" t="s">
        <v>42</v>
      </c>
      <c r="B7" s="360">
        <f>43+12995+32</f>
        <v>13070</v>
      </c>
      <c r="C7" s="361">
        <v>3352</v>
      </c>
      <c r="D7" s="361">
        <v>1436</v>
      </c>
      <c r="E7" s="361">
        <v>260</v>
      </c>
      <c r="F7" s="418">
        <f t="shared" si="0"/>
        <v>18118</v>
      </c>
      <c r="G7" s="363">
        <v>12896</v>
      </c>
      <c r="H7" s="361">
        <v>4268</v>
      </c>
      <c r="I7" s="361">
        <v>1420</v>
      </c>
      <c r="J7" s="361">
        <v>211</v>
      </c>
      <c r="K7" s="361">
        <f t="shared" si="4"/>
        <v>18795</v>
      </c>
      <c r="L7" s="362">
        <f t="shared" si="5"/>
        <v>0.037366155204768825</v>
      </c>
      <c r="M7" s="360">
        <v>16306</v>
      </c>
      <c r="N7" s="361">
        <v>6145</v>
      </c>
      <c r="O7" s="361">
        <v>666</v>
      </c>
      <c r="P7" s="361">
        <v>248</v>
      </c>
      <c r="Q7" s="361">
        <f t="shared" si="1"/>
        <v>23365</v>
      </c>
      <c r="R7" s="362">
        <f t="shared" si="2"/>
        <v>0.24314977387603087</v>
      </c>
      <c r="S7" s="360">
        <v>17874</v>
      </c>
      <c r="T7" s="361">
        <v>6699</v>
      </c>
      <c r="U7" s="361">
        <v>696</v>
      </c>
      <c r="V7" s="361">
        <v>205</v>
      </c>
      <c r="W7" s="358">
        <f>SUM(S7:V7)</f>
        <v>25474</v>
      </c>
      <c r="X7" s="362">
        <f t="shared" si="3"/>
        <v>0.0902632142092874</v>
      </c>
    </row>
    <row r="8" spans="1:24" ht="18" customHeight="1">
      <c r="A8" s="47" t="s">
        <v>43</v>
      </c>
      <c r="B8" s="360">
        <f>31+9163+29</f>
        <v>9223</v>
      </c>
      <c r="C8" s="361">
        <v>2511</v>
      </c>
      <c r="D8" s="361">
        <v>1109</v>
      </c>
      <c r="E8" s="361">
        <v>242</v>
      </c>
      <c r="F8" s="418">
        <f t="shared" si="0"/>
        <v>13085</v>
      </c>
      <c r="G8" s="363">
        <v>10096</v>
      </c>
      <c r="H8" s="361">
        <v>3293</v>
      </c>
      <c r="I8" s="361">
        <v>1107</v>
      </c>
      <c r="J8" s="361">
        <v>197</v>
      </c>
      <c r="K8" s="361">
        <f t="shared" si="4"/>
        <v>14693</v>
      </c>
      <c r="L8" s="362">
        <f t="shared" si="5"/>
        <v>0.12288880397401614</v>
      </c>
      <c r="M8" s="360">
        <v>14506</v>
      </c>
      <c r="N8" s="361">
        <v>5269</v>
      </c>
      <c r="O8" s="361">
        <v>564</v>
      </c>
      <c r="P8" s="361">
        <v>235</v>
      </c>
      <c r="Q8" s="361">
        <f t="shared" si="1"/>
        <v>20574</v>
      </c>
      <c r="R8" s="362">
        <f t="shared" si="2"/>
        <v>0.40025862655686373</v>
      </c>
      <c r="S8" s="360">
        <v>15763</v>
      </c>
      <c r="T8" s="361">
        <v>5711</v>
      </c>
      <c r="U8" s="361">
        <v>603</v>
      </c>
      <c r="V8" s="361">
        <v>203</v>
      </c>
      <c r="W8" s="358">
        <f>SUM(S8:V8)</f>
        <v>22280</v>
      </c>
      <c r="X8" s="362">
        <f t="shared" si="3"/>
        <v>0.08292019053173916</v>
      </c>
    </row>
    <row r="9" spans="1:24" ht="18" customHeight="1">
      <c r="A9" s="47" t="s">
        <v>44</v>
      </c>
      <c r="B9" s="360">
        <f>29+7523+32</f>
        <v>7584</v>
      </c>
      <c r="C9" s="361">
        <v>2003</v>
      </c>
      <c r="D9" s="361">
        <v>942</v>
      </c>
      <c r="E9" s="361">
        <v>211</v>
      </c>
      <c r="F9" s="418">
        <f t="shared" si="0"/>
        <v>10740</v>
      </c>
      <c r="G9" s="363">
        <v>8441</v>
      </c>
      <c r="H9" s="361">
        <v>2526</v>
      </c>
      <c r="I9" s="361">
        <v>953</v>
      </c>
      <c r="J9" s="361">
        <v>189</v>
      </c>
      <c r="K9" s="361">
        <f t="shared" si="4"/>
        <v>12109</v>
      </c>
      <c r="L9" s="362">
        <f t="shared" si="5"/>
        <v>0.1274674115456238</v>
      </c>
      <c r="M9" s="360">
        <v>11333</v>
      </c>
      <c r="N9" s="361">
        <v>3837</v>
      </c>
      <c r="O9" s="361">
        <v>441</v>
      </c>
      <c r="P9" s="361">
        <v>230</v>
      </c>
      <c r="Q9" s="361">
        <f t="shared" si="1"/>
        <v>15841</v>
      </c>
      <c r="R9" s="362">
        <f t="shared" si="2"/>
        <v>0.30820051201585597</v>
      </c>
      <c r="S9" s="360">
        <v>13974</v>
      </c>
      <c r="T9" s="361">
        <v>4164</v>
      </c>
      <c r="U9" s="361">
        <v>497</v>
      </c>
      <c r="V9" s="361">
        <v>199</v>
      </c>
      <c r="W9" s="358">
        <f>SUM(S9:V9)</f>
        <v>18834</v>
      </c>
      <c r="X9" s="362">
        <f t="shared" si="3"/>
        <v>0.18894009216589858</v>
      </c>
    </row>
    <row r="10" spans="1:24" ht="18" customHeight="1" thickBot="1">
      <c r="A10" s="160" t="s">
        <v>45</v>
      </c>
      <c r="B10" s="409">
        <f>26+8150+33</f>
        <v>8209</v>
      </c>
      <c r="C10" s="365">
        <v>1838</v>
      </c>
      <c r="D10" s="365">
        <v>869</v>
      </c>
      <c r="E10" s="365">
        <v>188</v>
      </c>
      <c r="F10" s="419">
        <f t="shared" si="0"/>
        <v>11104</v>
      </c>
      <c r="G10" s="364">
        <v>9388</v>
      </c>
      <c r="H10" s="365">
        <v>2158</v>
      </c>
      <c r="I10" s="365">
        <v>982</v>
      </c>
      <c r="J10" s="365">
        <v>191</v>
      </c>
      <c r="K10" s="365">
        <f t="shared" si="4"/>
        <v>12719</v>
      </c>
      <c r="L10" s="366">
        <f t="shared" si="5"/>
        <v>0.145443083573487</v>
      </c>
      <c r="M10" s="409">
        <v>11649</v>
      </c>
      <c r="N10" s="365">
        <v>3218</v>
      </c>
      <c r="O10" s="365">
        <v>403</v>
      </c>
      <c r="P10" s="365">
        <v>218</v>
      </c>
      <c r="Q10" s="365">
        <f t="shared" si="1"/>
        <v>15488</v>
      </c>
      <c r="R10" s="366">
        <f t="shared" si="2"/>
        <v>0.21770579448069816</v>
      </c>
      <c r="S10" s="409">
        <v>14786</v>
      </c>
      <c r="T10" s="365">
        <v>3518</v>
      </c>
      <c r="U10" s="365">
        <v>442</v>
      </c>
      <c r="V10" s="365">
        <v>195</v>
      </c>
      <c r="W10" s="358">
        <f>SUM(S10:V10)</f>
        <v>18941</v>
      </c>
      <c r="X10" s="366">
        <f t="shared" si="3"/>
        <v>0.22294679752066116</v>
      </c>
    </row>
    <row r="11" spans="1:24" ht="57" thickBot="1">
      <c r="A11" s="66" t="s">
        <v>68</v>
      </c>
      <c r="B11" s="369">
        <f aca="true" t="shared" si="6" ref="B11:J11">AVERAGE(B5:B10)</f>
        <v>11032.833333333334</v>
      </c>
      <c r="C11" s="367">
        <f t="shared" si="6"/>
        <v>2780.1666666666665</v>
      </c>
      <c r="D11" s="367">
        <f t="shared" si="6"/>
        <v>1234.3333333333333</v>
      </c>
      <c r="E11" s="367">
        <f t="shared" si="6"/>
        <v>239.33333333333334</v>
      </c>
      <c r="F11" s="420">
        <f t="shared" si="6"/>
        <v>15286.666666666666</v>
      </c>
      <c r="G11" s="415">
        <f t="shared" si="6"/>
        <v>11445.666666666666</v>
      </c>
      <c r="H11" s="367">
        <f t="shared" si="6"/>
        <v>3534.5</v>
      </c>
      <c r="I11" s="367">
        <f t="shared" si="6"/>
        <v>1231.3333333333333</v>
      </c>
      <c r="J11" s="367">
        <f t="shared" si="6"/>
        <v>205.5</v>
      </c>
      <c r="K11" s="367">
        <f>AVERAGE(K5:K10)</f>
        <v>16417</v>
      </c>
      <c r="L11" s="368">
        <f t="shared" si="5"/>
        <v>0.07394243349324037</v>
      </c>
      <c r="M11" s="367">
        <f>AVERAGE(M5:M10)</f>
        <v>14661.666666666666</v>
      </c>
      <c r="N11" s="367">
        <f>AVERAGE(N5:N10)</f>
        <v>5171</v>
      </c>
      <c r="O11" s="367">
        <f>AVERAGE(O5:O10)</f>
        <v>570.8333333333334</v>
      </c>
      <c r="P11" s="367">
        <f>AVERAGE(P5:P10)</f>
        <v>236.16666666666666</v>
      </c>
      <c r="Q11" s="367">
        <f>AVERAGE(Q5:Q10)</f>
        <v>20639.666666666668</v>
      </c>
      <c r="R11" s="368">
        <f t="shared" si="2"/>
        <v>0.2572130515116444</v>
      </c>
      <c r="S11" s="367">
        <f>AVERAGE(S5:S10)</f>
        <v>16517.5</v>
      </c>
      <c r="T11" s="367">
        <f>AVERAGE(T5:T10)</f>
        <v>5685.666666666667</v>
      </c>
      <c r="U11" s="367">
        <f>AVERAGE(U5:U10)</f>
        <v>619.1666666666666</v>
      </c>
      <c r="V11" s="367">
        <f>AVERAGE(V5:V10)</f>
        <v>207.83333333333334</v>
      </c>
      <c r="W11" s="367">
        <f>AVERAGE(W5:W10)</f>
        <v>23030.166666666668</v>
      </c>
      <c r="X11" s="368">
        <f t="shared" si="3"/>
        <v>0.11582066893845178</v>
      </c>
    </row>
    <row r="12" spans="1:24" ht="18" customHeight="1">
      <c r="A12" s="159" t="s">
        <v>49</v>
      </c>
      <c r="B12" s="401">
        <f>25+9671+40</f>
        <v>9736</v>
      </c>
      <c r="C12" s="358">
        <v>1885</v>
      </c>
      <c r="D12" s="358">
        <v>934</v>
      </c>
      <c r="E12" s="358">
        <v>194</v>
      </c>
      <c r="F12" s="417">
        <f aca="true" t="shared" si="7" ref="F12:F17">B12+C12+D12+E12</f>
        <v>12749</v>
      </c>
      <c r="G12" s="357">
        <v>11219</v>
      </c>
      <c r="H12" s="358">
        <v>2316</v>
      </c>
      <c r="I12" s="358">
        <v>1018</v>
      </c>
      <c r="J12" s="358">
        <v>206</v>
      </c>
      <c r="K12" s="358">
        <f t="shared" si="4"/>
        <v>14759</v>
      </c>
      <c r="L12" s="359">
        <f t="shared" si="5"/>
        <v>0.15765942426857005</v>
      </c>
      <c r="M12" s="401">
        <v>13594</v>
      </c>
      <c r="N12" s="358">
        <v>3323</v>
      </c>
      <c r="O12" s="358">
        <v>424</v>
      </c>
      <c r="P12" s="358">
        <v>218</v>
      </c>
      <c r="Q12" s="358">
        <f t="shared" si="1"/>
        <v>17559</v>
      </c>
      <c r="R12" s="359">
        <f t="shared" si="2"/>
        <v>0.1897147503218375</v>
      </c>
      <c r="S12" s="155">
        <v>15932</v>
      </c>
      <c r="T12" s="358">
        <v>3495</v>
      </c>
      <c r="U12" s="358">
        <v>403</v>
      </c>
      <c r="V12" s="370">
        <v>179</v>
      </c>
      <c r="W12" s="358">
        <f>SUM(S12:V12)</f>
        <v>20009</v>
      </c>
      <c r="X12" s="410">
        <f aca="true" t="shared" si="8" ref="X12:X18">(W12/Q12)-1</f>
        <v>0.13952958596731024</v>
      </c>
    </row>
    <row r="13" spans="1:24" ht="18" customHeight="1">
      <c r="A13" s="47" t="s">
        <v>50</v>
      </c>
      <c r="B13" s="360">
        <f>25+9478+31</f>
        <v>9534</v>
      </c>
      <c r="C13" s="361">
        <v>1732</v>
      </c>
      <c r="D13" s="361">
        <v>878</v>
      </c>
      <c r="E13" s="361">
        <v>176</v>
      </c>
      <c r="F13" s="418">
        <f t="shared" si="7"/>
        <v>12320</v>
      </c>
      <c r="G13" s="363">
        <v>11140</v>
      </c>
      <c r="H13" s="361">
        <v>2110</v>
      </c>
      <c r="I13" s="361">
        <v>942</v>
      </c>
      <c r="J13" s="361">
        <v>164</v>
      </c>
      <c r="K13" s="361">
        <f t="shared" si="4"/>
        <v>14356</v>
      </c>
      <c r="L13" s="362">
        <f t="shared" si="5"/>
        <v>0.16525974025974022</v>
      </c>
      <c r="M13" s="360">
        <v>13045</v>
      </c>
      <c r="N13" s="361">
        <v>2981</v>
      </c>
      <c r="O13" s="361">
        <v>375</v>
      </c>
      <c r="P13" s="361">
        <v>205</v>
      </c>
      <c r="Q13" s="361">
        <f t="shared" si="1"/>
        <v>16606</v>
      </c>
      <c r="R13" s="362">
        <f t="shared" si="2"/>
        <v>0.15672889384229594</v>
      </c>
      <c r="S13" s="156">
        <v>15570</v>
      </c>
      <c r="T13" s="371">
        <v>3167</v>
      </c>
      <c r="U13" s="371">
        <v>401</v>
      </c>
      <c r="V13" s="371">
        <v>158</v>
      </c>
      <c r="W13" s="358">
        <f>SUM(S13:V13)</f>
        <v>19296</v>
      </c>
      <c r="X13" s="293">
        <f t="shared" si="8"/>
        <v>0.16198964229796453</v>
      </c>
    </row>
    <row r="14" spans="1:24" ht="18" customHeight="1">
      <c r="A14" s="47" t="s">
        <v>51</v>
      </c>
      <c r="B14" s="360">
        <f>31+8436+40</f>
        <v>8507</v>
      </c>
      <c r="C14" s="361">
        <v>1741</v>
      </c>
      <c r="D14" s="361">
        <v>889</v>
      </c>
      <c r="E14" s="361">
        <v>186</v>
      </c>
      <c r="F14" s="418">
        <f t="shared" si="7"/>
        <v>11323</v>
      </c>
      <c r="G14" s="363">
        <v>10381</v>
      </c>
      <c r="H14" s="361">
        <v>2228</v>
      </c>
      <c r="I14" s="361">
        <v>985</v>
      </c>
      <c r="J14" s="361">
        <v>186</v>
      </c>
      <c r="K14" s="361">
        <f t="shared" si="4"/>
        <v>13780</v>
      </c>
      <c r="L14" s="362">
        <f t="shared" si="5"/>
        <v>0.21699196326061987</v>
      </c>
      <c r="M14" s="360">
        <v>12640</v>
      </c>
      <c r="N14" s="361">
        <v>3155</v>
      </c>
      <c r="O14" s="361">
        <v>389</v>
      </c>
      <c r="P14" s="361">
        <v>210</v>
      </c>
      <c r="Q14" s="361">
        <f t="shared" si="1"/>
        <v>16394</v>
      </c>
      <c r="R14" s="362">
        <f t="shared" si="2"/>
        <v>0.18969521044992743</v>
      </c>
      <c r="S14" s="156">
        <v>15829</v>
      </c>
      <c r="T14" s="371">
        <v>3142</v>
      </c>
      <c r="U14" s="371">
        <v>410</v>
      </c>
      <c r="V14" s="371">
        <v>155</v>
      </c>
      <c r="W14" s="358">
        <f>SUM(S14:V14)</f>
        <v>19536</v>
      </c>
      <c r="X14" s="293">
        <f t="shared" si="8"/>
        <v>0.1916554837135538</v>
      </c>
    </row>
    <row r="15" spans="1:24" ht="18" customHeight="1">
      <c r="A15" s="47" t="s">
        <v>52</v>
      </c>
      <c r="B15" s="360">
        <f>33+6863+39</f>
        <v>6935</v>
      </c>
      <c r="C15" s="361">
        <v>1819</v>
      </c>
      <c r="D15" s="361">
        <v>856</v>
      </c>
      <c r="E15" s="361">
        <v>192</v>
      </c>
      <c r="F15" s="418">
        <f t="shared" si="7"/>
        <v>9802</v>
      </c>
      <c r="G15" s="363">
        <v>8721</v>
      </c>
      <c r="H15" s="361">
        <v>2360</v>
      </c>
      <c r="I15" s="361">
        <v>993</v>
      </c>
      <c r="J15" s="361">
        <v>185</v>
      </c>
      <c r="K15" s="361">
        <f t="shared" si="4"/>
        <v>12259</v>
      </c>
      <c r="L15" s="362">
        <f t="shared" si="5"/>
        <v>0.25066312997347473</v>
      </c>
      <c r="M15" s="360">
        <v>10491</v>
      </c>
      <c r="N15" s="361">
        <v>3291</v>
      </c>
      <c r="O15" s="361">
        <v>392</v>
      </c>
      <c r="P15" s="361">
        <v>194</v>
      </c>
      <c r="Q15" s="361">
        <f t="shared" si="1"/>
        <v>14368</v>
      </c>
      <c r="R15" s="362">
        <f t="shared" si="2"/>
        <v>0.172036870870381</v>
      </c>
      <c r="S15" s="156">
        <v>13093</v>
      </c>
      <c r="T15" s="371">
        <v>2925</v>
      </c>
      <c r="U15" s="371">
        <v>387</v>
      </c>
      <c r="V15" s="371">
        <v>146</v>
      </c>
      <c r="W15" s="358">
        <f>SUM(S15:V15)</f>
        <v>16551</v>
      </c>
      <c r="X15" s="293">
        <f t="shared" si="8"/>
        <v>0.15193485523385308</v>
      </c>
    </row>
    <row r="16" spans="1:24" ht="18" customHeight="1">
      <c r="A16" s="47" t="s">
        <v>53</v>
      </c>
      <c r="B16" s="360">
        <f>42+9563+40</f>
        <v>9645</v>
      </c>
      <c r="C16" s="361">
        <v>2936</v>
      </c>
      <c r="D16" s="361">
        <v>1220</v>
      </c>
      <c r="E16" s="361">
        <v>195</v>
      </c>
      <c r="F16" s="418">
        <f t="shared" si="7"/>
        <v>13996</v>
      </c>
      <c r="G16" s="363">
        <v>11869</v>
      </c>
      <c r="H16" s="361">
        <v>4096</v>
      </c>
      <c r="I16" s="361">
        <v>1348</v>
      </c>
      <c r="J16" s="361">
        <v>210</v>
      </c>
      <c r="K16" s="361">
        <f t="shared" si="4"/>
        <v>17523</v>
      </c>
      <c r="L16" s="362">
        <f t="shared" si="5"/>
        <v>0.2520005715918834</v>
      </c>
      <c r="M16" s="360">
        <v>13799</v>
      </c>
      <c r="N16" s="361">
        <v>5261</v>
      </c>
      <c r="O16" s="361">
        <v>501</v>
      </c>
      <c r="P16" s="361">
        <v>200</v>
      </c>
      <c r="Q16" s="361">
        <f t="shared" si="1"/>
        <v>19761</v>
      </c>
      <c r="R16" s="362">
        <f t="shared" si="2"/>
        <v>0.12771785653141587</v>
      </c>
      <c r="S16" s="381"/>
      <c r="T16" s="382"/>
      <c r="U16" s="382"/>
      <c r="V16" s="382"/>
      <c r="W16" s="382"/>
      <c r="X16" s="293"/>
    </row>
    <row r="17" spans="1:24" ht="18" customHeight="1" thickBot="1">
      <c r="A17" s="160" t="s">
        <v>54</v>
      </c>
      <c r="B17" s="409">
        <f>51+12662+37</f>
        <v>12750</v>
      </c>
      <c r="C17" s="365">
        <v>3727</v>
      </c>
      <c r="D17" s="365">
        <v>1441</v>
      </c>
      <c r="E17" s="365">
        <v>197</v>
      </c>
      <c r="F17" s="419">
        <f t="shared" si="7"/>
        <v>18115</v>
      </c>
      <c r="G17" s="364">
        <v>15176</v>
      </c>
      <c r="H17" s="365">
        <v>5046</v>
      </c>
      <c r="I17" s="365">
        <v>1588</v>
      </c>
      <c r="J17" s="365">
        <v>241</v>
      </c>
      <c r="K17" s="365">
        <f t="shared" si="4"/>
        <v>22051</v>
      </c>
      <c r="L17" s="366">
        <f t="shared" si="5"/>
        <v>0.21727849848192116</v>
      </c>
      <c r="M17" s="409">
        <v>16963</v>
      </c>
      <c r="N17" s="365">
        <v>6374</v>
      </c>
      <c r="O17" s="365">
        <v>637</v>
      </c>
      <c r="P17" s="365">
        <v>221</v>
      </c>
      <c r="Q17" s="365">
        <f t="shared" si="1"/>
        <v>24195</v>
      </c>
      <c r="R17" s="366">
        <f t="shared" si="2"/>
        <v>0.09722915060541482</v>
      </c>
      <c r="S17" s="411"/>
      <c r="T17" s="412"/>
      <c r="U17" s="412"/>
      <c r="V17" s="412"/>
      <c r="W17" s="412"/>
      <c r="X17" s="413"/>
    </row>
    <row r="18" spans="1:24" ht="57" thickBot="1">
      <c r="A18" s="66" t="s">
        <v>69</v>
      </c>
      <c r="B18" s="369">
        <f aca="true" t="shared" si="9" ref="B18:K18">AVERAGE(B12:B17)</f>
        <v>9517.833333333334</v>
      </c>
      <c r="C18" s="367">
        <f t="shared" si="9"/>
        <v>2306.6666666666665</v>
      </c>
      <c r="D18" s="367">
        <f t="shared" si="9"/>
        <v>1036.3333333333333</v>
      </c>
      <c r="E18" s="367">
        <f t="shared" si="9"/>
        <v>190</v>
      </c>
      <c r="F18" s="420">
        <f t="shared" si="9"/>
        <v>13050.833333333334</v>
      </c>
      <c r="G18" s="415">
        <f t="shared" si="9"/>
        <v>11417.666666666666</v>
      </c>
      <c r="H18" s="367">
        <f t="shared" si="9"/>
        <v>3026</v>
      </c>
      <c r="I18" s="367">
        <f t="shared" si="9"/>
        <v>1145.6666666666667</v>
      </c>
      <c r="J18" s="367">
        <f t="shared" si="9"/>
        <v>198.66666666666666</v>
      </c>
      <c r="K18" s="367">
        <f t="shared" si="9"/>
        <v>15788</v>
      </c>
      <c r="L18" s="368">
        <f t="shared" si="5"/>
        <v>0.2097311793627481</v>
      </c>
      <c r="M18" s="414">
        <f>AVERAGE(M12:M17)</f>
        <v>13422</v>
      </c>
      <c r="N18" s="414">
        <f>AVERAGE(N12:N17)</f>
        <v>4064.1666666666665</v>
      </c>
      <c r="O18" s="414">
        <f>AVERAGE(O12:O17)</f>
        <v>453</v>
      </c>
      <c r="P18" s="414">
        <f>AVERAGE(P12:P17)</f>
        <v>208</v>
      </c>
      <c r="Q18" s="367">
        <f>AVERAGE(Q12:Q17)</f>
        <v>18147.166666666668</v>
      </c>
      <c r="R18" s="368">
        <f t="shared" si="2"/>
        <v>0.14942783548686767</v>
      </c>
      <c r="S18" s="414">
        <f>AVERAGE(S12:S17)</f>
        <v>15106</v>
      </c>
      <c r="T18" s="414">
        <f>AVERAGE(T12:T17)</f>
        <v>3182.25</v>
      </c>
      <c r="U18" s="414">
        <f>AVERAGE(U12:U17)</f>
        <v>400.25</v>
      </c>
      <c r="V18" s="414">
        <f>AVERAGE(V12:V17)</f>
        <v>159.5</v>
      </c>
      <c r="W18" s="367">
        <f>AVERAGE(W12:W17)</f>
        <v>18848</v>
      </c>
      <c r="X18" s="368">
        <f t="shared" si="8"/>
        <v>0.038619435540901526</v>
      </c>
    </row>
    <row r="19" spans="1:24" ht="57" thickBot="1">
      <c r="A19" s="66" t="s">
        <v>70</v>
      </c>
      <c r="B19" s="369">
        <f aca="true" t="shared" si="10" ref="B19:K19">AVERAGE(B5:B10,B12:B17)</f>
        <v>10275.333333333334</v>
      </c>
      <c r="C19" s="367">
        <f t="shared" si="10"/>
        <v>2543.4166666666665</v>
      </c>
      <c r="D19" s="367">
        <f t="shared" si="10"/>
        <v>1135.3333333333333</v>
      </c>
      <c r="E19" s="367">
        <f t="shared" si="10"/>
        <v>214.66666666666666</v>
      </c>
      <c r="F19" s="420">
        <f t="shared" si="10"/>
        <v>14168.75</v>
      </c>
      <c r="G19" s="415">
        <f t="shared" si="10"/>
        <v>11431.666666666666</v>
      </c>
      <c r="H19" s="367">
        <f t="shared" si="10"/>
        <v>3280.25</v>
      </c>
      <c r="I19" s="367">
        <f t="shared" si="10"/>
        <v>1188.5</v>
      </c>
      <c r="J19" s="367">
        <f t="shared" si="10"/>
        <v>202.08333333333334</v>
      </c>
      <c r="K19" s="367">
        <f t="shared" si="10"/>
        <v>16102.5</v>
      </c>
      <c r="L19" s="368">
        <f t="shared" si="5"/>
        <v>0.1364799294221437</v>
      </c>
      <c r="M19" s="367">
        <f>AVERAGE(M5:M10,M12:M17)</f>
        <v>14041.833333333334</v>
      </c>
      <c r="N19" s="367">
        <f>AVERAGE(N5:N10,N12:N17)</f>
        <v>4617.583333333333</v>
      </c>
      <c r="O19" s="367">
        <f>AVERAGE(O5:O10,O12:O17)</f>
        <v>511.9166666666667</v>
      </c>
      <c r="P19" s="367">
        <f>AVERAGE(P5:P10,P12:P17)</f>
        <v>222.08333333333334</v>
      </c>
      <c r="Q19" s="367">
        <f>AVERAGE(Q5:Q10,Q12:Q17)</f>
        <v>19393.416666666668</v>
      </c>
      <c r="R19" s="368">
        <f t="shared" si="2"/>
        <v>0.2043730269626871</v>
      </c>
      <c r="S19" s="422"/>
      <c r="T19" s="423"/>
      <c r="U19" s="423"/>
      <c r="V19" s="423"/>
      <c r="W19" s="423"/>
      <c r="X19" s="421"/>
    </row>
    <row r="20" ht="12.75">
      <c r="L20" s="81"/>
    </row>
    <row r="21" ht="12.75">
      <c r="L21" s="104"/>
    </row>
    <row r="22" spans="1:24" ht="31.5" customHeight="1">
      <c r="A22" s="598" t="s">
        <v>71</v>
      </c>
      <c r="B22" s="598"/>
      <c r="C22" s="598"/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U22" s="41"/>
      <c r="V22" s="50" t="s">
        <v>34</v>
      </c>
      <c r="W22" s="52"/>
      <c r="X22" s="52"/>
    </row>
    <row r="23" spans="1:24" ht="12.75">
      <c r="A23" s="158">
        <f>'applicants by month 2006-2013'!A29</f>
        <v>41687</v>
      </c>
      <c r="U23" s="52" t="s">
        <v>35</v>
      </c>
      <c r="V23" s="50"/>
      <c r="W23" s="52"/>
      <c r="X23" s="52"/>
    </row>
    <row r="24" ht="12.75">
      <c r="A24" s="51"/>
    </row>
    <row r="25" spans="1:18" ht="12.75">
      <c r="A25" s="51"/>
      <c r="H25" s="41"/>
      <c r="I25" s="52"/>
      <c r="J25" s="52"/>
      <c r="K25" s="52"/>
      <c r="O25" s="41"/>
      <c r="P25" s="589"/>
      <c r="Q25" s="589"/>
      <c r="R25" s="52"/>
    </row>
    <row r="26" spans="1:18" ht="12.75">
      <c r="A26" s="158"/>
      <c r="H26" s="52"/>
      <c r="I26" s="52"/>
      <c r="J26" s="52"/>
      <c r="K26" s="52"/>
      <c r="O26" s="589"/>
      <c r="P26" s="589"/>
      <c r="Q26" s="589"/>
      <c r="R26" s="589"/>
    </row>
  </sheetData>
  <sheetProtection/>
  <mergeCells count="12">
    <mergeCell ref="B3:F3"/>
    <mergeCell ref="G3:K3"/>
    <mergeCell ref="S3:W3"/>
    <mergeCell ref="X3:X4"/>
    <mergeCell ref="A1:X1"/>
    <mergeCell ref="A22:R22"/>
    <mergeCell ref="P25:Q25"/>
    <mergeCell ref="O26:R26"/>
    <mergeCell ref="M3:Q3"/>
    <mergeCell ref="R3:R4"/>
    <mergeCell ref="A2:B2"/>
    <mergeCell ref="L3:L4"/>
  </mergeCells>
  <printOptions/>
  <pageMargins left="0" right="0" top="0.35433070866141736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9">
      <selection activeCell="Y21" sqref="Y21"/>
    </sheetView>
  </sheetViews>
  <sheetFormatPr defaultColWidth="17.7109375" defaultRowHeight="12.75"/>
  <cols>
    <col min="1" max="1" width="17.28125" style="0" customWidth="1"/>
    <col min="2" max="2" width="9.28125" style="0" hidden="1" customWidth="1"/>
    <col min="3" max="3" width="14.421875" style="0" hidden="1" customWidth="1"/>
    <col min="4" max="4" width="9.28125" style="0" hidden="1" customWidth="1"/>
    <col min="5" max="5" width="14.421875" style="0" hidden="1" customWidth="1"/>
    <col min="6" max="6" width="9.28125" style="0" hidden="1" customWidth="1"/>
    <col min="7" max="7" width="14.421875" style="0" hidden="1" customWidth="1"/>
    <col min="8" max="8" width="7.7109375" style="0" hidden="1" customWidth="1"/>
    <col min="9" max="9" width="16.00390625" style="0" hidden="1" customWidth="1"/>
    <col min="10" max="10" width="8.421875" style="0" hidden="1" customWidth="1"/>
    <col min="11" max="11" width="14.8515625" style="0" hidden="1" customWidth="1"/>
    <col min="12" max="12" width="9.57421875" style="0" hidden="1" customWidth="1"/>
    <col min="13" max="13" width="8.28125" style="0" customWidth="1"/>
    <col min="14" max="14" width="14.7109375" style="0" customWidth="1"/>
    <col min="15" max="15" width="9.00390625" style="0" customWidth="1"/>
    <col min="16" max="16" width="8.140625" style="0" customWidth="1"/>
    <col min="17" max="17" width="14.8515625" style="0" customWidth="1"/>
    <col min="18" max="18" width="8.8515625" style="0" customWidth="1"/>
    <col min="19" max="19" width="8.421875" style="0" customWidth="1"/>
    <col min="20" max="20" width="15.57421875" style="0" customWidth="1"/>
    <col min="21" max="21" width="8.57421875" style="0" customWidth="1"/>
    <col min="22" max="22" width="8.421875" style="0" customWidth="1"/>
    <col min="23" max="23" width="16.140625" style="0" customWidth="1"/>
    <col min="24" max="24" width="9.421875" style="0" customWidth="1"/>
  </cols>
  <sheetData>
    <row r="1" spans="1:23" ht="24" customHeight="1">
      <c r="A1" s="102"/>
      <c r="B1" s="102"/>
      <c r="C1" s="102"/>
      <c r="D1" s="102"/>
      <c r="E1" s="102"/>
      <c r="F1" s="102"/>
      <c r="G1" s="102"/>
      <c r="H1" s="597" t="s">
        <v>93</v>
      </c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</row>
    <row r="2" ht="13.5" customHeight="1" thickBot="1"/>
    <row r="3" spans="1:24" ht="12.75" customHeight="1" thickBot="1">
      <c r="A3" s="622" t="s">
        <v>39</v>
      </c>
      <c r="B3" s="611">
        <v>2005</v>
      </c>
      <c r="C3" s="612"/>
      <c r="D3" s="611">
        <v>2006</v>
      </c>
      <c r="E3" s="612"/>
      <c r="F3" s="611">
        <v>2007</v>
      </c>
      <c r="G3" s="612"/>
      <c r="H3" s="611">
        <v>2008</v>
      </c>
      <c r="I3" s="612"/>
      <c r="J3" s="611">
        <v>2009</v>
      </c>
      <c r="K3" s="620"/>
      <c r="L3" s="608" t="s">
        <v>36</v>
      </c>
      <c r="M3" s="586">
        <v>2010</v>
      </c>
      <c r="N3" s="613"/>
      <c r="O3" s="608" t="s">
        <v>37</v>
      </c>
      <c r="P3" s="586">
        <v>2011</v>
      </c>
      <c r="Q3" s="613"/>
      <c r="R3" s="608" t="s">
        <v>38</v>
      </c>
      <c r="S3" s="586">
        <v>2012</v>
      </c>
      <c r="T3" s="613"/>
      <c r="U3" s="608" t="s">
        <v>48</v>
      </c>
      <c r="V3" s="586">
        <v>2013</v>
      </c>
      <c r="W3" s="613"/>
      <c r="X3" s="608" t="s">
        <v>92</v>
      </c>
    </row>
    <row r="4" spans="1:24" ht="12.75" customHeight="1">
      <c r="A4" s="623"/>
      <c r="B4" s="618" t="s">
        <v>46</v>
      </c>
      <c r="C4" s="619" t="s">
        <v>47</v>
      </c>
      <c r="D4" s="618" t="s">
        <v>46</v>
      </c>
      <c r="E4" s="619" t="s">
        <v>47</v>
      </c>
      <c r="F4" s="618" t="s">
        <v>46</v>
      </c>
      <c r="G4" s="619" t="s">
        <v>47</v>
      </c>
      <c r="H4" s="618" t="s">
        <v>46</v>
      </c>
      <c r="I4" s="619" t="s">
        <v>47</v>
      </c>
      <c r="J4" s="618" t="s">
        <v>46</v>
      </c>
      <c r="K4" s="619" t="s">
        <v>47</v>
      </c>
      <c r="L4" s="609"/>
      <c r="M4" s="614" t="s">
        <v>46</v>
      </c>
      <c r="N4" s="616" t="s">
        <v>47</v>
      </c>
      <c r="O4" s="609"/>
      <c r="P4" s="614" t="s">
        <v>46</v>
      </c>
      <c r="Q4" s="616" t="s">
        <v>47</v>
      </c>
      <c r="R4" s="609"/>
      <c r="S4" s="614" t="s">
        <v>46</v>
      </c>
      <c r="T4" s="616" t="s">
        <v>47</v>
      </c>
      <c r="U4" s="609"/>
      <c r="V4" s="614" t="s">
        <v>46</v>
      </c>
      <c r="W4" s="616" t="s">
        <v>47</v>
      </c>
      <c r="X4" s="609"/>
    </row>
    <row r="5" spans="1:24" ht="12.75">
      <c r="A5" s="623"/>
      <c r="B5" s="614"/>
      <c r="C5" s="616"/>
      <c r="D5" s="614"/>
      <c r="E5" s="616"/>
      <c r="F5" s="614"/>
      <c r="G5" s="616"/>
      <c r="H5" s="614"/>
      <c r="I5" s="616"/>
      <c r="J5" s="614"/>
      <c r="K5" s="616"/>
      <c r="L5" s="609"/>
      <c r="M5" s="614"/>
      <c r="N5" s="616"/>
      <c r="O5" s="609"/>
      <c r="P5" s="614"/>
      <c r="Q5" s="616"/>
      <c r="R5" s="609"/>
      <c r="S5" s="614"/>
      <c r="T5" s="616"/>
      <c r="U5" s="609"/>
      <c r="V5" s="614"/>
      <c r="W5" s="616"/>
      <c r="X5" s="609"/>
    </row>
    <row r="6" spans="1:24" ht="8.25" customHeight="1" thickBot="1">
      <c r="A6" s="624"/>
      <c r="B6" s="615"/>
      <c r="C6" s="617"/>
      <c r="D6" s="615"/>
      <c r="E6" s="617"/>
      <c r="F6" s="615"/>
      <c r="G6" s="617"/>
      <c r="H6" s="615"/>
      <c r="I6" s="617"/>
      <c r="J6" s="615"/>
      <c r="K6" s="617"/>
      <c r="L6" s="610"/>
      <c r="M6" s="615"/>
      <c r="N6" s="617"/>
      <c r="O6" s="610"/>
      <c r="P6" s="615"/>
      <c r="Q6" s="617"/>
      <c r="R6" s="610"/>
      <c r="S6" s="615"/>
      <c r="T6" s="617"/>
      <c r="U6" s="610"/>
      <c r="V6" s="615"/>
      <c r="W6" s="617"/>
      <c r="X6" s="610"/>
    </row>
    <row r="7" spans="1:24" ht="15" customHeight="1">
      <c r="A7" s="155" t="s">
        <v>40</v>
      </c>
      <c r="B7" s="27">
        <v>14673</v>
      </c>
      <c r="C7" s="49">
        <v>2940510</v>
      </c>
      <c r="D7" s="27">
        <v>14562</v>
      </c>
      <c r="E7" s="69">
        <v>3818295</v>
      </c>
      <c r="F7" s="27">
        <v>14489</v>
      </c>
      <c r="G7" s="49">
        <v>3005355</v>
      </c>
      <c r="H7" s="27">
        <v>12860</v>
      </c>
      <c r="I7" s="69">
        <v>6429356</v>
      </c>
      <c r="J7" s="26">
        <v>14841</v>
      </c>
      <c r="K7" s="131">
        <v>5725662</v>
      </c>
      <c r="L7" s="116">
        <f aca="true" t="shared" si="0" ref="L7:L21">J7/H7-1</f>
        <v>0.15404354587869373</v>
      </c>
      <c r="M7" s="26">
        <v>20020</v>
      </c>
      <c r="N7" s="131">
        <v>6402802</v>
      </c>
      <c r="O7" s="116">
        <f aca="true" t="shared" si="1" ref="O7:O21">M7/J7-1</f>
        <v>0.34896570311973596</v>
      </c>
      <c r="P7" s="35">
        <v>20351</v>
      </c>
      <c r="Q7" s="121">
        <v>7694758</v>
      </c>
      <c r="R7" s="116">
        <f aca="true" t="shared" si="2" ref="R7:R21">P7/M7-1</f>
        <v>0.016533466533466434</v>
      </c>
      <c r="S7" s="26">
        <v>24571</v>
      </c>
      <c r="T7" s="213">
        <v>7876600</v>
      </c>
      <c r="U7" s="201">
        <f aca="true" t="shared" si="3" ref="U7:U21">S7/P7-1</f>
        <v>0.2073608176502384</v>
      </c>
      <c r="V7" s="30">
        <f>'benef., by month and com 11-13'!W5</f>
        <v>26620</v>
      </c>
      <c r="W7" s="213">
        <v>12806842</v>
      </c>
      <c r="X7" s="201">
        <f aca="true" t="shared" si="4" ref="X7:X14">V7/S7-1</f>
        <v>0.0833909893777216</v>
      </c>
    </row>
    <row r="8" spans="1:24" ht="15" customHeight="1">
      <c r="A8" s="156" t="s">
        <v>41</v>
      </c>
      <c r="B8" s="29">
        <v>14411</v>
      </c>
      <c r="C8" s="44">
        <v>3852153</v>
      </c>
      <c r="D8" s="29">
        <v>14322</v>
      </c>
      <c r="E8" s="39">
        <v>3421812</v>
      </c>
      <c r="F8" s="29">
        <v>13985</v>
      </c>
      <c r="G8" s="44">
        <v>4133238</v>
      </c>
      <c r="H8" s="29">
        <v>12872</v>
      </c>
      <c r="I8" s="39">
        <v>7705397</v>
      </c>
      <c r="J8" s="28">
        <v>15214</v>
      </c>
      <c r="K8" s="132">
        <v>7721727</v>
      </c>
      <c r="L8" s="118">
        <f t="shared" si="0"/>
        <v>0.18194530764449968</v>
      </c>
      <c r="M8" s="28">
        <v>18653</v>
      </c>
      <c r="N8" s="132">
        <v>9341322</v>
      </c>
      <c r="O8" s="117">
        <f t="shared" si="1"/>
        <v>0.2260418036019456</v>
      </c>
      <c r="P8" s="36">
        <v>19835</v>
      </c>
      <c r="Q8" s="122">
        <v>9733588</v>
      </c>
      <c r="R8" s="117">
        <f t="shared" si="2"/>
        <v>0.06336782287031584</v>
      </c>
      <c r="S8" s="30">
        <v>23999</v>
      </c>
      <c r="T8" s="214">
        <v>13293238</v>
      </c>
      <c r="U8" s="200">
        <f t="shared" si="3"/>
        <v>0.20993193849256375</v>
      </c>
      <c r="V8" s="30">
        <f>'benef., by month and com 11-13'!W6</f>
        <v>26032</v>
      </c>
      <c r="W8" s="214">
        <v>13168840</v>
      </c>
      <c r="X8" s="200">
        <f t="shared" si="4"/>
        <v>0.08471186299429134</v>
      </c>
    </row>
    <row r="9" spans="1:24" ht="15" customHeight="1">
      <c r="A9" s="156" t="s">
        <v>42</v>
      </c>
      <c r="B9" s="29">
        <v>13289</v>
      </c>
      <c r="C9" s="44">
        <v>4243776</v>
      </c>
      <c r="D9" s="29">
        <v>13512</v>
      </c>
      <c r="E9" s="39">
        <v>4348349</v>
      </c>
      <c r="F9" s="29">
        <v>12972</v>
      </c>
      <c r="G9" s="44">
        <v>4375808</v>
      </c>
      <c r="H9" s="29">
        <v>12054</v>
      </c>
      <c r="I9" s="70">
        <v>6561430</v>
      </c>
      <c r="J9" s="28">
        <v>15070</v>
      </c>
      <c r="K9" s="133">
        <v>6994997</v>
      </c>
      <c r="L9" s="118">
        <f t="shared" si="0"/>
        <v>0.250207400033184</v>
      </c>
      <c r="M9" s="28">
        <v>18118</v>
      </c>
      <c r="N9" s="133">
        <v>12306668</v>
      </c>
      <c r="O9" s="117">
        <f t="shared" si="1"/>
        <v>0.20225613802256137</v>
      </c>
      <c r="P9" s="36">
        <v>18795</v>
      </c>
      <c r="Q9" s="123">
        <v>16379537</v>
      </c>
      <c r="R9" s="117">
        <f t="shared" si="2"/>
        <v>0.037366155204768825</v>
      </c>
      <c r="S9" s="30">
        <v>23365</v>
      </c>
      <c r="T9" s="215">
        <v>13221451</v>
      </c>
      <c r="U9" s="200">
        <f t="shared" si="3"/>
        <v>0.24314977387603087</v>
      </c>
      <c r="V9" s="30">
        <f>'benef., by month and com 11-13'!W7</f>
        <v>25474</v>
      </c>
      <c r="W9" s="215">
        <v>8845520</v>
      </c>
      <c r="X9" s="200">
        <f t="shared" si="4"/>
        <v>0.0902632142092874</v>
      </c>
    </row>
    <row r="10" spans="1:24" ht="15" customHeight="1">
      <c r="A10" s="156" t="s">
        <v>43</v>
      </c>
      <c r="B10" s="29">
        <v>8005</v>
      </c>
      <c r="C10" s="44">
        <v>3585663</v>
      </c>
      <c r="D10" s="29">
        <v>8879</v>
      </c>
      <c r="E10" s="39">
        <v>4502221</v>
      </c>
      <c r="F10" s="29">
        <v>8319</v>
      </c>
      <c r="G10" s="44">
        <v>3911497</v>
      </c>
      <c r="H10" s="29">
        <v>7536</v>
      </c>
      <c r="I10" s="39">
        <v>6895257</v>
      </c>
      <c r="J10" s="28">
        <v>11372</v>
      </c>
      <c r="K10" s="127">
        <v>6955494</v>
      </c>
      <c r="L10" s="118">
        <f t="shared" si="0"/>
        <v>0.5090233545647558</v>
      </c>
      <c r="M10" s="28">
        <v>13085</v>
      </c>
      <c r="N10" s="127">
        <v>8344709</v>
      </c>
      <c r="O10" s="117">
        <f t="shared" si="1"/>
        <v>0.1506331340133662</v>
      </c>
      <c r="P10" s="36">
        <v>14693</v>
      </c>
      <c r="Q10" s="124">
        <v>8299999</v>
      </c>
      <c r="R10" s="117">
        <f t="shared" si="2"/>
        <v>0.12288880397401614</v>
      </c>
      <c r="S10" s="30">
        <v>20574</v>
      </c>
      <c r="T10" s="216">
        <v>16676663</v>
      </c>
      <c r="U10" s="200">
        <f t="shared" si="3"/>
        <v>0.40025862655686373</v>
      </c>
      <c r="V10" s="30">
        <f>'benef., by month and com 11-13'!W8</f>
        <v>22280</v>
      </c>
      <c r="W10" s="216">
        <v>28124828</v>
      </c>
      <c r="X10" s="200">
        <f t="shared" si="4"/>
        <v>0.08292019053173916</v>
      </c>
    </row>
    <row r="11" spans="1:24" ht="15" customHeight="1">
      <c r="A11" s="156" t="s">
        <v>44</v>
      </c>
      <c r="B11" s="29">
        <v>7266</v>
      </c>
      <c r="C11" s="44">
        <v>2647918</v>
      </c>
      <c r="D11" s="29">
        <v>7355</v>
      </c>
      <c r="E11" s="39">
        <v>2639504.41</v>
      </c>
      <c r="F11" s="29">
        <v>6149</v>
      </c>
      <c r="G11" s="44">
        <v>3349936</v>
      </c>
      <c r="H11" s="29">
        <v>5808</v>
      </c>
      <c r="I11" s="39">
        <v>4136432</v>
      </c>
      <c r="J11" s="28">
        <v>9699</v>
      </c>
      <c r="K11" s="127">
        <v>9179790</v>
      </c>
      <c r="L11" s="118">
        <f t="shared" si="0"/>
        <v>0.6699380165289257</v>
      </c>
      <c r="M11" s="28">
        <v>10740</v>
      </c>
      <c r="N11" s="127">
        <v>10398300</v>
      </c>
      <c r="O11" s="118">
        <f t="shared" si="1"/>
        <v>0.10733065264460251</v>
      </c>
      <c r="P11" s="36">
        <v>12109</v>
      </c>
      <c r="Q11" s="124">
        <v>8780870</v>
      </c>
      <c r="R11" s="118">
        <f t="shared" si="2"/>
        <v>0.1274674115456238</v>
      </c>
      <c r="S11" s="30">
        <v>15841</v>
      </c>
      <c r="T11" s="216">
        <v>14404648</v>
      </c>
      <c r="U11" s="200">
        <f t="shared" si="3"/>
        <v>0.30820051201585597</v>
      </c>
      <c r="V11" s="30">
        <f>'benef., by month and com 11-13'!W9</f>
        <v>18834</v>
      </c>
      <c r="W11" s="216">
        <v>12962000</v>
      </c>
      <c r="X11" s="200">
        <f t="shared" si="4"/>
        <v>0.18894009216589858</v>
      </c>
    </row>
    <row r="12" spans="1:24" ht="15" customHeight="1" thickBot="1">
      <c r="A12" s="157" t="s">
        <v>45</v>
      </c>
      <c r="B12" s="33">
        <v>7282</v>
      </c>
      <c r="C12" s="74">
        <v>2036403</v>
      </c>
      <c r="D12" s="33">
        <v>7260</v>
      </c>
      <c r="E12" s="73">
        <v>1734611.23</v>
      </c>
      <c r="F12" s="33">
        <v>6516</v>
      </c>
      <c r="G12" s="74">
        <v>2056713</v>
      </c>
      <c r="H12" s="33">
        <v>5954</v>
      </c>
      <c r="I12" s="73">
        <v>2584829.96</v>
      </c>
      <c r="J12" s="32">
        <v>10145</v>
      </c>
      <c r="K12" s="128">
        <v>4954591</v>
      </c>
      <c r="L12" s="119">
        <f t="shared" si="0"/>
        <v>0.7038965401410817</v>
      </c>
      <c r="M12" s="16">
        <v>11103</v>
      </c>
      <c r="N12" s="150">
        <v>6021837</v>
      </c>
      <c r="O12" s="146">
        <f t="shared" si="1"/>
        <v>0.09443075406604229</v>
      </c>
      <c r="P12" s="258">
        <v>12719</v>
      </c>
      <c r="Q12" s="288">
        <v>6967932</v>
      </c>
      <c r="R12" s="146">
        <f t="shared" si="2"/>
        <v>0.14554624876159594</v>
      </c>
      <c r="S12" s="184">
        <v>15488</v>
      </c>
      <c r="T12" s="217">
        <v>9288140</v>
      </c>
      <c r="U12" s="61">
        <f t="shared" si="3"/>
        <v>0.21770579448069816</v>
      </c>
      <c r="V12" s="30">
        <f>'benef., by month and com 11-13'!W10</f>
        <v>18941</v>
      </c>
      <c r="W12" s="217">
        <v>10602509</v>
      </c>
      <c r="X12" s="61">
        <f t="shared" si="4"/>
        <v>0.22294679752066116</v>
      </c>
    </row>
    <row r="13" spans="1:24" ht="57" customHeight="1" thickBot="1">
      <c r="A13" s="66" t="s">
        <v>57</v>
      </c>
      <c r="B13" s="78">
        <f>AVERAGE(B7:B12)</f>
        <v>10821</v>
      </c>
      <c r="C13" s="79">
        <f>SUM(C7:C12)</f>
        <v>19306423</v>
      </c>
      <c r="D13" s="78">
        <f>AVERAGE(D7:D12)</f>
        <v>10981.666666666666</v>
      </c>
      <c r="E13" s="76">
        <f>SUM(E7:E12)</f>
        <v>20464792.64</v>
      </c>
      <c r="F13" s="78">
        <f>AVERAGE(F7:F12)</f>
        <v>10405</v>
      </c>
      <c r="G13" s="79">
        <f>SUM(G7:G12)</f>
        <v>20832547</v>
      </c>
      <c r="H13" s="78">
        <f>AVERAGE(H7:H12)</f>
        <v>9514</v>
      </c>
      <c r="I13" s="80">
        <f>SUM(I7:I12)</f>
        <v>34312701.96</v>
      </c>
      <c r="J13" s="134">
        <f>AVERAGE(J7:J12)</f>
        <v>12723.5</v>
      </c>
      <c r="K13" s="129">
        <f>SUM(K7:K12)</f>
        <v>41532261</v>
      </c>
      <c r="L13" s="82">
        <f t="shared" si="0"/>
        <v>0.3373449653142737</v>
      </c>
      <c r="M13" s="147">
        <f>AVERAGE(M7:M12)</f>
        <v>15286.5</v>
      </c>
      <c r="N13" s="125">
        <f>SUM(N7:N12)</f>
        <v>52815638</v>
      </c>
      <c r="O13" s="105">
        <f t="shared" si="1"/>
        <v>0.20143828349117765</v>
      </c>
      <c r="P13" s="139">
        <f>AVERAGE(P7:P12)</f>
        <v>16417</v>
      </c>
      <c r="Q13" s="125">
        <f>SUM(Q7:Q12)</f>
        <v>57856684</v>
      </c>
      <c r="R13" s="105">
        <f>P13/M13-1</f>
        <v>0.07395414254407484</v>
      </c>
      <c r="S13" s="147">
        <f>AVERAGE(S7:S12)</f>
        <v>20639.666666666668</v>
      </c>
      <c r="T13" s="218">
        <f>SUM(T7:T12)</f>
        <v>74760740</v>
      </c>
      <c r="U13" s="219">
        <f t="shared" si="3"/>
        <v>0.2572130515116444</v>
      </c>
      <c r="V13" s="147">
        <f>AVERAGE(V7:V12)</f>
        <v>23030.166666666668</v>
      </c>
      <c r="W13" s="218">
        <f>SUM(W7:W12)</f>
        <v>86510539</v>
      </c>
      <c r="X13" s="105">
        <f t="shared" si="4"/>
        <v>0.11582066893845178</v>
      </c>
    </row>
    <row r="14" spans="1:24" ht="15" customHeight="1">
      <c r="A14" s="46" t="s">
        <v>49</v>
      </c>
      <c r="B14" s="27">
        <v>8708</v>
      </c>
      <c r="C14" s="49">
        <v>1031804</v>
      </c>
      <c r="D14" s="27">
        <v>8866</v>
      </c>
      <c r="E14" s="69">
        <v>2106129</v>
      </c>
      <c r="F14" s="27">
        <v>8061</v>
      </c>
      <c r="G14" s="49">
        <v>1502791</v>
      </c>
      <c r="H14" s="27">
        <v>7529</v>
      </c>
      <c r="I14" s="69">
        <v>2428466</v>
      </c>
      <c r="J14" s="26">
        <v>12127</v>
      </c>
      <c r="K14" s="126">
        <v>5106587</v>
      </c>
      <c r="L14" s="116">
        <f t="shared" si="0"/>
        <v>0.6107052729446141</v>
      </c>
      <c r="M14" s="30">
        <v>12749</v>
      </c>
      <c r="N14" s="289">
        <v>3590014</v>
      </c>
      <c r="O14" s="117">
        <f t="shared" si="1"/>
        <v>0.05129050878205654</v>
      </c>
      <c r="P14" s="140">
        <v>14759</v>
      </c>
      <c r="Q14" s="289">
        <v>3742612</v>
      </c>
      <c r="R14" s="117">
        <f t="shared" si="2"/>
        <v>0.15765942426857005</v>
      </c>
      <c r="S14" s="30">
        <v>17559</v>
      </c>
      <c r="T14" s="220">
        <v>7397094</v>
      </c>
      <c r="U14" s="200">
        <f t="shared" si="3"/>
        <v>0.1897147503218375</v>
      </c>
      <c r="V14" s="30">
        <f>'benef., by month and com 11-13'!W12</f>
        <v>20009</v>
      </c>
      <c r="W14" s="220">
        <v>8606327</v>
      </c>
      <c r="X14" s="200">
        <f t="shared" si="4"/>
        <v>0.13952958596731024</v>
      </c>
    </row>
    <row r="15" spans="1:24" ht="15" customHeight="1">
      <c r="A15" s="47" t="s">
        <v>50</v>
      </c>
      <c r="B15" s="29">
        <v>8419</v>
      </c>
      <c r="C15" s="44">
        <v>2904935.01</v>
      </c>
      <c r="D15" s="29">
        <v>8827</v>
      </c>
      <c r="E15" s="39">
        <v>1377861</v>
      </c>
      <c r="F15" s="29">
        <v>7992</v>
      </c>
      <c r="G15" s="44">
        <v>2217876</v>
      </c>
      <c r="H15" s="29">
        <v>7648</v>
      </c>
      <c r="I15" s="39">
        <v>3006346</v>
      </c>
      <c r="J15" s="28">
        <v>12023</v>
      </c>
      <c r="K15" s="127">
        <v>4571245</v>
      </c>
      <c r="L15" s="118">
        <f t="shared" si="0"/>
        <v>0.5720449790794979</v>
      </c>
      <c r="M15" s="28">
        <v>12320</v>
      </c>
      <c r="N15" s="127">
        <v>5135684</v>
      </c>
      <c r="O15" s="117">
        <f t="shared" si="1"/>
        <v>0.02470265324794152</v>
      </c>
      <c r="P15" s="140">
        <v>14356</v>
      </c>
      <c r="Q15" s="127">
        <v>5949558</v>
      </c>
      <c r="R15" s="117">
        <f t="shared" si="2"/>
        <v>0.16525974025974022</v>
      </c>
      <c r="S15" s="30">
        <v>16606</v>
      </c>
      <c r="T15" s="216">
        <v>6406861</v>
      </c>
      <c r="U15" s="200">
        <f t="shared" si="3"/>
        <v>0.15672889384229594</v>
      </c>
      <c r="V15" s="30">
        <f>'benef., by month and com 11-13'!W13</f>
        <v>19296</v>
      </c>
      <c r="W15" s="216">
        <v>9095878</v>
      </c>
      <c r="X15" s="265">
        <f>V15/S15-1</f>
        <v>0.16198964229796453</v>
      </c>
    </row>
    <row r="16" spans="1:24" ht="15" customHeight="1">
      <c r="A16" s="47" t="s">
        <v>51</v>
      </c>
      <c r="B16" s="29">
        <v>7846</v>
      </c>
      <c r="C16" s="44">
        <v>2923665.34</v>
      </c>
      <c r="D16" s="29">
        <v>8413</v>
      </c>
      <c r="E16" s="39">
        <v>3020351.79</v>
      </c>
      <c r="F16" s="29">
        <v>7618</v>
      </c>
      <c r="G16" s="44">
        <v>2150669</v>
      </c>
      <c r="H16" s="29">
        <v>6945</v>
      </c>
      <c r="I16" s="39">
        <v>3873569</v>
      </c>
      <c r="J16" s="28">
        <v>11661</v>
      </c>
      <c r="K16" s="127">
        <v>7025665</v>
      </c>
      <c r="L16" s="118">
        <f t="shared" si="0"/>
        <v>0.6790496760259179</v>
      </c>
      <c r="M16" s="28">
        <v>11323</v>
      </c>
      <c r="N16" s="127">
        <v>8542058</v>
      </c>
      <c r="O16" s="117">
        <f t="shared" si="1"/>
        <v>-0.02898550724637683</v>
      </c>
      <c r="P16" s="140">
        <v>13780</v>
      </c>
      <c r="Q16" s="127">
        <v>8229483</v>
      </c>
      <c r="R16" s="118">
        <f t="shared" si="2"/>
        <v>0.21699196326061987</v>
      </c>
      <c r="S16" s="30">
        <v>16394</v>
      </c>
      <c r="T16" s="216">
        <v>11517137</v>
      </c>
      <c r="U16" s="200">
        <f t="shared" si="3"/>
        <v>0.18969521044992743</v>
      </c>
      <c r="V16" s="30">
        <f>'benef., by month and com 11-13'!W14</f>
        <v>19536</v>
      </c>
      <c r="W16" s="216">
        <v>9533807</v>
      </c>
      <c r="X16" s="265">
        <f>V16/S16-1</f>
        <v>0.1916554837135538</v>
      </c>
    </row>
    <row r="17" spans="1:24" ht="15" customHeight="1">
      <c r="A17" s="47" t="s">
        <v>52</v>
      </c>
      <c r="B17" s="29">
        <v>6917</v>
      </c>
      <c r="C17" s="44">
        <v>1827238</v>
      </c>
      <c r="D17" s="29">
        <v>6743</v>
      </c>
      <c r="E17" s="39">
        <v>2304286</v>
      </c>
      <c r="F17" s="29">
        <v>5798</v>
      </c>
      <c r="G17" s="44">
        <v>2070347</v>
      </c>
      <c r="H17" s="29">
        <v>5771</v>
      </c>
      <c r="I17" s="39">
        <v>3454842</v>
      </c>
      <c r="J17" s="28">
        <v>10381</v>
      </c>
      <c r="K17" s="127">
        <v>5069350</v>
      </c>
      <c r="L17" s="118">
        <f t="shared" si="0"/>
        <v>0.798821694680298</v>
      </c>
      <c r="M17" s="28">
        <v>9802</v>
      </c>
      <c r="N17" s="127">
        <v>4385709</v>
      </c>
      <c r="O17" s="117">
        <f t="shared" si="1"/>
        <v>-0.05577497350929583</v>
      </c>
      <c r="P17" s="140">
        <v>12259</v>
      </c>
      <c r="Q17" s="127">
        <v>7387566</v>
      </c>
      <c r="R17" s="118">
        <f t="shared" si="2"/>
        <v>0.25066312997347473</v>
      </c>
      <c r="S17" s="30">
        <v>14368</v>
      </c>
      <c r="T17" s="216">
        <v>9890312</v>
      </c>
      <c r="U17" s="200">
        <f t="shared" si="3"/>
        <v>0.172036870870381</v>
      </c>
      <c r="V17" s="30">
        <f>'benef., by month and com 11-13'!W15</f>
        <v>16551</v>
      </c>
      <c r="W17" s="216">
        <v>13392733.12</v>
      </c>
      <c r="X17" s="265">
        <f>V17/S17-1</f>
        <v>0.15193485523385308</v>
      </c>
    </row>
    <row r="18" spans="1:24" ht="15" customHeight="1">
      <c r="A18" s="47" t="s">
        <v>53</v>
      </c>
      <c r="B18" s="29">
        <v>10002</v>
      </c>
      <c r="C18" s="44">
        <v>1990787</v>
      </c>
      <c r="D18" s="29">
        <v>10026</v>
      </c>
      <c r="E18" s="39">
        <v>2463829</v>
      </c>
      <c r="F18" s="29">
        <v>8930</v>
      </c>
      <c r="G18" s="44">
        <v>1916507</v>
      </c>
      <c r="H18" s="29">
        <v>9212</v>
      </c>
      <c r="I18" s="39">
        <v>2912126</v>
      </c>
      <c r="J18" s="28">
        <v>14716</v>
      </c>
      <c r="K18" s="127">
        <v>7174890</v>
      </c>
      <c r="L18" s="118">
        <f t="shared" si="0"/>
        <v>0.5974815458098133</v>
      </c>
      <c r="M18" s="28">
        <v>13996</v>
      </c>
      <c r="N18" s="127">
        <v>6514316</v>
      </c>
      <c r="O18" s="117">
        <f t="shared" si="1"/>
        <v>-0.04892633867898888</v>
      </c>
      <c r="P18" s="140">
        <v>17523</v>
      </c>
      <c r="Q18" s="127">
        <v>8227126</v>
      </c>
      <c r="R18" s="118">
        <f t="shared" si="2"/>
        <v>0.2520005715918834</v>
      </c>
      <c r="S18" s="30">
        <v>19761</v>
      </c>
      <c r="T18" s="216">
        <v>7834516</v>
      </c>
      <c r="U18" s="200">
        <f t="shared" si="3"/>
        <v>0.12771785653141587</v>
      </c>
      <c r="V18" s="30" t="s">
        <v>86</v>
      </c>
      <c r="W18" s="216">
        <v>14315061.190000001</v>
      </c>
      <c r="X18" s="294" t="s">
        <v>86</v>
      </c>
    </row>
    <row r="19" spans="1:24" ht="15" customHeight="1" thickBot="1">
      <c r="A19" s="72" t="s">
        <v>54</v>
      </c>
      <c r="B19" s="33">
        <v>13093</v>
      </c>
      <c r="C19" s="74">
        <v>1935627</v>
      </c>
      <c r="D19" s="33">
        <v>12931</v>
      </c>
      <c r="E19" s="73">
        <v>1815997</v>
      </c>
      <c r="F19" s="33">
        <v>12041</v>
      </c>
      <c r="G19" s="74">
        <v>1472275</v>
      </c>
      <c r="H19" s="33">
        <v>12724</v>
      </c>
      <c r="I19" s="73">
        <v>3423575</v>
      </c>
      <c r="J19" s="32">
        <v>18370</v>
      </c>
      <c r="K19" s="128">
        <v>7432835</v>
      </c>
      <c r="L19" s="119">
        <f t="shared" si="0"/>
        <v>0.4437283872995914</v>
      </c>
      <c r="M19" s="32">
        <v>18115</v>
      </c>
      <c r="N19" s="128">
        <v>4825777</v>
      </c>
      <c r="O19" s="120">
        <f t="shared" si="1"/>
        <v>-0.0138813282525857</v>
      </c>
      <c r="P19" s="149">
        <v>22051</v>
      </c>
      <c r="Q19" s="150">
        <v>6997865</v>
      </c>
      <c r="R19" s="146">
        <f t="shared" si="2"/>
        <v>0.21727849848192116</v>
      </c>
      <c r="S19" s="32">
        <v>24195</v>
      </c>
      <c r="T19" s="217">
        <v>6661968</v>
      </c>
      <c r="U19" s="200">
        <f t="shared" si="3"/>
        <v>0.09722915060541482</v>
      </c>
      <c r="V19" s="30" t="s">
        <v>86</v>
      </c>
      <c r="W19" s="217">
        <v>8481727</v>
      </c>
      <c r="X19" s="294" t="s">
        <v>86</v>
      </c>
    </row>
    <row r="20" spans="1:24" ht="57.75" customHeight="1" thickBot="1">
      <c r="A20" s="75" t="s">
        <v>58</v>
      </c>
      <c r="B20" s="84">
        <f>AVERAGE(B14:B19)</f>
        <v>9164.166666666666</v>
      </c>
      <c r="C20" s="79">
        <f>SUM(C14:C19)</f>
        <v>12614056.35</v>
      </c>
      <c r="D20" s="77">
        <f>AVERAGE(D14:D19)</f>
        <v>9301</v>
      </c>
      <c r="E20" s="76">
        <f>SUM(E14:E19)</f>
        <v>13088453.79</v>
      </c>
      <c r="F20" s="84">
        <f>AVERAGE(F14:F19)</f>
        <v>8406.666666666666</v>
      </c>
      <c r="G20" s="79">
        <f>SUM(G14:G19)</f>
        <v>11330465</v>
      </c>
      <c r="H20" s="83">
        <f>AVERAGE(H14:H19)</f>
        <v>8304.833333333334</v>
      </c>
      <c r="I20" s="80">
        <f>SUM(I14:I19)</f>
        <v>19098924</v>
      </c>
      <c r="J20" s="83">
        <f>AVERAGE(J14:J19)</f>
        <v>13213</v>
      </c>
      <c r="K20" s="129">
        <f>SUM(K14:K19)</f>
        <v>36380572</v>
      </c>
      <c r="L20" s="82">
        <f t="shared" si="0"/>
        <v>0.5910012241867184</v>
      </c>
      <c r="M20" s="134">
        <f>AVERAGE(M14:M19)</f>
        <v>13050.833333333334</v>
      </c>
      <c r="N20" s="129">
        <f>SUM(N14:N19)</f>
        <v>32993558</v>
      </c>
      <c r="O20" s="82">
        <f t="shared" si="1"/>
        <v>-0.012273266227704971</v>
      </c>
      <c r="P20" s="147">
        <f>AVERAGE(P14:P19)</f>
        <v>15788</v>
      </c>
      <c r="Q20" s="125">
        <f>SUM(Q14:Q19)</f>
        <v>40534210</v>
      </c>
      <c r="R20" s="105">
        <f t="shared" si="2"/>
        <v>0.2097311793627481</v>
      </c>
      <c r="S20" s="59">
        <f>AVERAGE(S14:S19)</f>
        <v>18147.166666666668</v>
      </c>
      <c r="T20" s="125">
        <f>SUM(T14:T19)</f>
        <v>49707888</v>
      </c>
      <c r="U20" s="105">
        <f t="shared" si="3"/>
        <v>0.14942783548686767</v>
      </c>
      <c r="V20" s="59">
        <f>AVERAGE(V14:V19)</f>
        <v>18848</v>
      </c>
      <c r="W20" s="125">
        <f>SUM(W14:W19)</f>
        <v>63425533.31</v>
      </c>
      <c r="X20" s="219">
        <f>V20/S20-1</f>
        <v>0.038619435540901526</v>
      </c>
    </row>
    <row r="21" spans="1:24" ht="57.75" customHeight="1" thickBot="1">
      <c r="A21" s="66" t="s">
        <v>59</v>
      </c>
      <c r="B21" s="59">
        <f>AVERAGE(B13,B20)</f>
        <v>9992.583333333332</v>
      </c>
      <c r="C21" s="45">
        <f>SUM(C13,C20)</f>
        <v>31920479.35</v>
      </c>
      <c r="D21" s="59">
        <f>AVERAGE(D13,D20)</f>
        <v>10141.333333333332</v>
      </c>
      <c r="E21" s="40">
        <f>SUM(E13,E20)</f>
        <v>33553246.43</v>
      </c>
      <c r="F21" s="59">
        <f>AVERAGE(F13,F20)</f>
        <v>9405.833333333332</v>
      </c>
      <c r="G21" s="45">
        <f>SUM(G13,G20)</f>
        <v>32163012</v>
      </c>
      <c r="H21" s="89">
        <f>AVERAGE(H7:H12,H14:H19)</f>
        <v>8909.416666666666</v>
      </c>
      <c r="I21" s="91">
        <f>SUM(I13,I20)</f>
        <v>53411625.96</v>
      </c>
      <c r="J21" s="89">
        <f>AVERAGE(J7:J12,J14:J19)</f>
        <v>12968.25</v>
      </c>
      <c r="K21" s="135">
        <f>SUM(K13,K20)</f>
        <v>77912833</v>
      </c>
      <c r="L21" s="136">
        <f t="shared" si="0"/>
        <v>0.45556667570828635</v>
      </c>
      <c r="M21" s="138">
        <f>AVERAGE(M7:M12,M14:M19)</f>
        <v>14168.666666666666</v>
      </c>
      <c r="N21" s="130">
        <f>SUM(N13,N20)</f>
        <v>85809196</v>
      </c>
      <c r="O21" s="136">
        <f t="shared" si="1"/>
        <v>0.09256581779859774</v>
      </c>
      <c r="P21" s="147">
        <f>AVERAGE(P7:P12,P14:P19)</f>
        <v>16102.5</v>
      </c>
      <c r="Q21" s="148">
        <f>SUM(Q13,Q20)</f>
        <v>98390894</v>
      </c>
      <c r="R21" s="105">
        <f t="shared" si="2"/>
        <v>0.13648661365454284</v>
      </c>
      <c r="S21" s="59">
        <f>AVERAGE(S7:S12,S14:S19)</f>
        <v>19393.416666666668</v>
      </c>
      <c r="T21" s="125">
        <f>SUM(T13,T20)</f>
        <v>124468628</v>
      </c>
      <c r="U21" s="105">
        <f t="shared" si="3"/>
        <v>0.2043730269626871</v>
      </c>
      <c r="V21" s="59"/>
      <c r="W21" s="125">
        <f>SUM(W13,W20)</f>
        <v>149936072.31</v>
      </c>
      <c r="X21" s="295"/>
    </row>
    <row r="22" spans="1:24" ht="24.75" thickBot="1">
      <c r="A22" s="86" t="s">
        <v>55</v>
      </c>
      <c r="B22" s="85"/>
      <c r="C22" s="85"/>
      <c r="D22" s="85"/>
      <c r="E22" s="85"/>
      <c r="F22" s="85"/>
      <c r="G22" s="85"/>
      <c r="H22" s="87"/>
      <c r="I22" s="88">
        <v>54291437</v>
      </c>
      <c r="J22" s="87"/>
      <c r="K22" s="93">
        <v>77869786</v>
      </c>
      <c r="L22" s="137"/>
      <c r="M22" s="424"/>
      <c r="N22" s="425">
        <v>85809195</v>
      </c>
      <c r="O22" s="426"/>
      <c r="P22" s="427"/>
      <c r="Q22" s="148">
        <v>98390894</v>
      </c>
      <c r="R22" s="430"/>
      <c r="S22" s="431"/>
      <c r="T22" s="429" t="s">
        <v>86</v>
      </c>
      <c r="U22" s="432"/>
      <c r="V22" s="431"/>
      <c r="W22" s="429" t="s">
        <v>86</v>
      </c>
      <c r="X22" s="428"/>
    </row>
    <row r="23" spans="1:17" ht="12.75">
      <c r="A23" s="95"/>
      <c r="B23" s="96"/>
      <c r="C23" s="96"/>
      <c r="D23" s="96"/>
      <c r="E23" s="96"/>
      <c r="F23" s="96"/>
      <c r="G23" s="96"/>
      <c r="H23" s="90"/>
      <c r="I23" s="97"/>
      <c r="J23" s="90"/>
      <c r="K23" s="92"/>
      <c r="L23" s="60"/>
      <c r="M23" s="60"/>
      <c r="N23" s="94"/>
      <c r="O23" s="9"/>
      <c r="P23" s="9"/>
      <c r="Q23" s="98"/>
    </row>
    <row r="24" spans="1:23" ht="22.5" customHeight="1">
      <c r="A24" s="621" t="s">
        <v>60</v>
      </c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</row>
    <row r="25" spans="1:20" ht="21" customHeight="1">
      <c r="A25" s="287" t="s">
        <v>62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</row>
    <row r="26" spans="1:15" ht="15" customHeight="1">
      <c r="A26" s="67" t="s">
        <v>61</v>
      </c>
      <c r="B26" s="41"/>
      <c r="C26" s="41"/>
      <c r="D26" s="41"/>
      <c r="E26" s="41"/>
      <c r="F26" s="50"/>
      <c r="G26" s="50"/>
      <c r="H26" s="52"/>
      <c r="I26" s="50"/>
      <c r="J26" s="50"/>
      <c r="K26" s="68"/>
      <c r="L26" s="68"/>
      <c r="M26" s="68"/>
      <c r="N26" s="68"/>
      <c r="O26" s="68"/>
    </row>
    <row r="27" spans="1:15" ht="12.75" customHeight="1">
      <c r="A27" s="67" t="s">
        <v>56</v>
      </c>
      <c r="B27" s="52"/>
      <c r="C27" s="52"/>
      <c r="D27" s="52"/>
      <c r="E27" s="52"/>
      <c r="F27" s="41"/>
      <c r="G27" s="52"/>
      <c r="H27" s="52"/>
      <c r="I27" s="41"/>
      <c r="J27" s="52"/>
      <c r="K27" s="50"/>
      <c r="L27" s="50"/>
      <c r="M27" s="50"/>
      <c r="N27" s="50"/>
      <c r="O27" s="50"/>
    </row>
    <row r="28" spans="1:16" ht="12.75">
      <c r="A28" s="42"/>
      <c r="B28" s="41"/>
      <c r="C28" s="41"/>
      <c r="D28" s="41"/>
      <c r="E28" s="41"/>
      <c r="F28" s="589"/>
      <c r="G28" s="589"/>
      <c r="H28" s="53"/>
      <c r="N28" s="50"/>
      <c r="O28" s="50"/>
      <c r="P28" s="50"/>
    </row>
    <row r="29" spans="1:23" ht="12.75">
      <c r="A29" s="51"/>
      <c r="B29" s="51"/>
      <c r="C29" s="51"/>
      <c r="D29" s="51"/>
      <c r="E29" s="51"/>
      <c r="F29" s="50"/>
      <c r="G29" s="50"/>
      <c r="H29" s="52"/>
      <c r="J29" s="42"/>
      <c r="K29" s="50"/>
      <c r="L29" s="50"/>
      <c r="M29" s="50"/>
      <c r="N29" s="50"/>
      <c r="O29" s="43"/>
      <c r="P29" s="50"/>
      <c r="S29" s="50"/>
      <c r="W29" s="50" t="s">
        <v>34</v>
      </c>
    </row>
    <row r="30" spans="1:23" ht="12.75">
      <c r="A30" s="158">
        <f>'benef., by month and com 11-13'!A23</f>
        <v>41687</v>
      </c>
      <c r="B30" s="41"/>
      <c r="C30" s="41"/>
      <c r="D30" s="41"/>
      <c r="E30" s="41"/>
      <c r="F30" s="589"/>
      <c r="G30" s="589"/>
      <c r="H30" s="53"/>
      <c r="N30" s="50"/>
      <c r="O30" s="50"/>
      <c r="P30" s="50"/>
      <c r="S30" s="50"/>
      <c r="W30" s="50" t="s">
        <v>35</v>
      </c>
    </row>
    <row r="31" spans="1:16" ht="12.75">
      <c r="A31" s="42"/>
      <c r="B31" s="41"/>
      <c r="C31" s="41"/>
      <c r="D31" s="41"/>
      <c r="E31" s="41"/>
      <c r="F31" s="589"/>
      <c r="G31" s="589"/>
      <c r="H31" s="53"/>
      <c r="N31" s="50"/>
      <c r="O31" s="50"/>
      <c r="P31" s="50"/>
    </row>
    <row r="35" ht="12.75">
      <c r="A35" s="18"/>
    </row>
  </sheetData>
  <sheetProtection/>
  <mergeCells count="38">
    <mergeCell ref="H1:W1"/>
    <mergeCell ref="V3:W3"/>
    <mergeCell ref="V4:V6"/>
    <mergeCell ref="W4:W6"/>
    <mergeCell ref="X3:X6"/>
    <mergeCell ref="A3:A6"/>
    <mergeCell ref="K4:K6"/>
    <mergeCell ref="M4:M6"/>
    <mergeCell ref="C4:C6"/>
    <mergeCell ref="D4:D6"/>
    <mergeCell ref="E4:E6"/>
    <mergeCell ref="F28:G28"/>
    <mergeCell ref="F3:G3"/>
    <mergeCell ref="Q4:Q6"/>
    <mergeCell ref="G4:G6"/>
    <mergeCell ref="N4:N6"/>
    <mergeCell ref="P4:P6"/>
    <mergeCell ref="A24:W24"/>
    <mergeCell ref="U3:U6"/>
    <mergeCell ref="L3:L6"/>
    <mergeCell ref="F31:G31"/>
    <mergeCell ref="F30:G30"/>
    <mergeCell ref="B3:C3"/>
    <mergeCell ref="D3:E3"/>
    <mergeCell ref="B4:B6"/>
    <mergeCell ref="P3:Q3"/>
    <mergeCell ref="I4:I6"/>
    <mergeCell ref="F4:F6"/>
    <mergeCell ref="J3:K3"/>
    <mergeCell ref="J4:J6"/>
    <mergeCell ref="R3:R6"/>
    <mergeCell ref="H3:I3"/>
    <mergeCell ref="M3:N3"/>
    <mergeCell ref="O3:O6"/>
    <mergeCell ref="S3:T3"/>
    <mergeCell ref="S4:S6"/>
    <mergeCell ref="T4:T6"/>
    <mergeCell ref="H4:H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140625" style="0" bestFit="1" customWidth="1"/>
    <col min="2" max="2" width="57.7109375" style="0" customWidth="1"/>
    <col min="3" max="3" width="12.28125" style="0" customWidth="1"/>
    <col min="4" max="5" width="11.7109375" style="0" bestFit="1" customWidth="1"/>
    <col min="6" max="6" width="13.28125" style="0" customWidth="1"/>
    <col min="7" max="7" width="11.421875" style="0" customWidth="1"/>
    <col min="8" max="8" width="13.421875" style="0" customWidth="1"/>
  </cols>
  <sheetData>
    <row r="1" ht="14.25" customHeight="1">
      <c r="B1" s="324" t="s">
        <v>100</v>
      </c>
    </row>
    <row r="2" spans="1:7" ht="40.5" customHeight="1" thickBot="1">
      <c r="A2" s="626" t="s">
        <v>97</v>
      </c>
      <c r="B2" s="626"/>
      <c r="C2" s="626"/>
      <c r="D2" s="626"/>
      <c r="E2" s="626"/>
      <c r="F2" s="626"/>
      <c r="G2" s="626"/>
    </row>
    <row r="3" spans="1:8" ht="19.5" customHeight="1">
      <c r="A3" s="437"/>
      <c r="B3" s="438"/>
      <c r="C3" s="633" t="s">
        <v>27</v>
      </c>
      <c r="D3" s="634"/>
      <c r="E3" s="634"/>
      <c r="F3" s="634"/>
      <c r="G3" s="634"/>
      <c r="H3" s="635"/>
    </row>
    <row r="4" spans="1:8" ht="17.25" customHeight="1">
      <c r="A4" s="439" t="s">
        <v>3</v>
      </c>
      <c r="B4" s="440" t="s">
        <v>31</v>
      </c>
      <c r="C4" s="627" t="s">
        <v>28</v>
      </c>
      <c r="D4" s="628"/>
      <c r="E4" s="629" t="s">
        <v>29</v>
      </c>
      <c r="F4" s="630"/>
      <c r="G4" s="631" t="s">
        <v>26</v>
      </c>
      <c r="H4" s="636" t="s">
        <v>75</v>
      </c>
    </row>
    <row r="5" spans="1:8" ht="31.5" customHeight="1" thickBot="1">
      <c r="A5" s="441"/>
      <c r="B5" s="441"/>
      <c r="C5" s="456" t="s">
        <v>33</v>
      </c>
      <c r="D5" s="457" t="s">
        <v>32</v>
      </c>
      <c r="E5" s="457" t="s">
        <v>32</v>
      </c>
      <c r="F5" s="458" t="s">
        <v>30</v>
      </c>
      <c r="G5" s="632"/>
      <c r="H5" s="637"/>
    </row>
    <row r="6" spans="1:8" ht="15" customHeight="1">
      <c r="A6" s="442">
        <v>1</v>
      </c>
      <c r="B6" s="443" t="s">
        <v>4</v>
      </c>
      <c r="C6" s="453">
        <v>0</v>
      </c>
      <c r="D6" s="454">
        <v>0</v>
      </c>
      <c r="E6" s="310">
        <v>0</v>
      </c>
      <c r="F6" s="310">
        <v>159</v>
      </c>
      <c r="G6" s="455">
        <f>SUM(C6+D6+E6+F6)</f>
        <v>159</v>
      </c>
      <c r="H6" s="460">
        <f>G6/G29</f>
        <v>0.004360225963911589</v>
      </c>
    </row>
    <row r="7" spans="1:8" ht="15" customHeight="1">
      <c r="A7" s="444">
        <v>2</v>
      </c>
      <c r="B7" s="445" t="s">
        <v>5</v>
      </c>
      <c r="C7" s="433">
        <v>0</v>
      </c>
      <c r="D7" s="141">
        <v>0</v>
      </c>
      <c r="E7" s="142">
        <v>0</v>
      </c>
      <c r="F7" s="142">
        <v>62</v>
      </c>
      <c r="G7" s="372">
        <f>SUM(C7+D7+E7+F7)</f>
        <v>62</v>
      </c>
      <c r="H7" s="461">
        <f>G7/G29</f>
        <v>0.001700213897877475</v>
      </c>
    </row>
    <row r="8" spans="1:8" ht="15" customHeight="1">
      <c r="A8" s="444">
        <v>3</v>
      </c>
      <c r="B8" s="445" t="s">
        <v>6</v>
      </c>
      <c r="C8" s="433">
        <v>141</v>
      </c>
      <c r="D8" s="141">
        <v>0</v>
      </c>
      <c r="E8" s="142">
        <v>0</v>
      </c>
      <c r="F8" s="142">
        <v>2690</v>
      </c>
      <c r="G8" s="372">
        <f aca="true" t="shared" si="0" ref="G8:G28">SUM(C8+D8+E8+F8)</f>
        <v>2831</v>
      </c>
      <c r="H8" s="461">
        <f>G8/G29</f>
        <v>0.07763396040146986</v>
      </c>
    </row>
    <row r="9" spans="1:8" ht="15" customHeight="1">
      <c r="A9" s="444">
        <v>4</v>
      </c>
      <c r="B9" s="445" t="s">
        <v>7</v>
      </c>
      <c r="C9" s="434">
        <v>0</v>
      </c>
      <c r="D9" s="143">
        <v>0</v>
      </c>
      <c r="E9" s="144">
        <v>0</v>
      </c>
      <c r="F9" s="132">
        <v>15</v>
      </c>
      <c r="G9" s="373">
        <f t="shared" si="0"/>
        <v>15</v>
      </c>
      <c r="H9" s="461">
        <f>G9/G29</f>
        <v>0.00041134207206713105</v>
      </c>
    </row>
    <row r="10" spans="1:8" ht="26.25" customHeight="1">
      <c r="A10" s="444">
        <v>5</v>
      </c>
      <c r="B10" s="445" t="s">
        <v>8</v>
      </c>
      <c r="C10" s="433">
        <v>0</v>
      </c>
      <c r="D10" s="141">
        <v>0</v>
      </c>
      <c r="E10" s="142">
        <v>0</v>
      </c>
      <c r="F10" s="142">
        <v>31</v>
      </c>
      <c r="G10" s="373">
        <f t="shared" si="0"/>
        <v>31</v>
      </c>
      <c r="H10" s="461">
        <f>G10/G29</f>
        <v>0.0008501069489387375</v>
      </c>
    </row>
    <row r="11" spans="1:8" ht="15.75" customHeight="1">
      <c r="A11" s="444">
        <v>6</v>
      </c>
      <c r="B11" s="446" t="s">
        <v>9</v>
      </c>
      <c r="C11" s="434">
        <v>0</v>
      </c>
      <c r="D11" s="127">
        <v>5</v>
      </c>
      <c r="E11" s="132">
        <v>10</v>
      </c>
      <c r="F11" s="132">
        <v>4790</v>
      </c>
      <c r="G11" s="373">
        <f t="shared" si="0"/>
        <v>4805</v>
      </c>
      <c r="H11" s="461">
        <f>G11/G29</f>
        <v>0.1317665770855043</v>
      </c>
    </row>
    <row r="12" spans="1:8" ht="27.75" customHeight="1">
      <c r="A12" s="444">
        <v>7</v>
      </c>
      <c r="B12" s="445" t="s">
        <v>10</v>
      </c>
      <c r="C12" s="434">
        <v>0</v>
      </c>
      <c r="D12" s="127">
        <v>242</v>
      </c>
      <c r="E12" s="132">
        <v>20</v>
      </c>
      <c r="F12" s="132">
        <v>5524</v>
      </c>
      <c r="G12" s="373">
        <f t="shared" si="0"/>
        <v>5786</v>
      </c>
      <c r="H12" s="461">
        <f>G12/G29</f>
        <v>0.15866834859869466</v>
      </c>
    </row>
    <row r="13" spans="1:8" ht="15" customHeight="1">
      <c r="A13" s="444">
        <v>8</v>
      </c>
      <c r="B13" s="445" t="s">
        <v>11</v>
      </c>
      <c r="C13" s="434">
        <v>0</v>
      </c>
      <c r="D13" s="127">
        <v>58</v>
      </c>
      <c r="E13" s="127">
        <v>5</v>
      </c>
      <c r="F13" s="132">
        <v>1136</v>
      </c>
      <c r="G13" s="373">
        <f t="shared" si="0"/>
        <v>1199</v>
      </c>
      <c r="H13" s="461">
        <f>G13/G29</f>
        <v>0.032879942960566004</v>
      </c>
    </row>
    <row r="14" spans="1:8" ht="15" customHeight="1">
      <c r="A14" s="444">
        <v>9</v>
      </c>
      <c r="B14" s="445" t="s">
        <v>12</v>
      </c>
      <c r="C14" s="433">
        <v>0</v>
      </c>
      <c r="D14" s="141">
        <v>4207</v>
      </c>
      <c r="E14" s="127">
        <v>3681</v>
      </c>
      <c r="F14" s="142">
        <v>3010</v>
      </c>
      <c r="G14" s="373">
        <f t="shared" si="0"/>
        <v>10898</v>
      </c>
      <c r="H14" s="461">
        <f>G14/G29</f>
        <v>0.29885372675917293</v>
      </c>
    </row>
    <row r="15" spans="1:8" ht="15" customHeight="1">
      <c r="A15" s="444">
        <v>10</v>
      </c>
      <c r="B15" s="445" t="s">
        <v>13</v>
      </c>
      <c r="C15" s="433">
        <v>0</v>
      </c>
      <c r="D15" s="141">
        <v>0</v>
      </c>
      <c r="E15" s="142">
        <v>2</v>
      </c>
      <c r="F15" s="142">
        <v>373</v>
      </c>
      <c r="G15" s="372">
        <f t="shared" si="0"/>
        <v>375</v>
      </c>
      <c r="H15" s="461">
        <f>G15/G29</f>
        <v>0.010283551801678276</v>
      </c>
    </row>
    <row r="16" spans="1:8" ht="15" customHeight="1">
      <c r="A16" s="444">
        <v>11</v>
      </c>
      <c r="B16" s="445" t="s">
        <v>14</v>
      </c>
      <c r="C16" s="433">
        <v>0</v>
      </c>
      <c r="D16" s="141">
        <v>0</v>
      </c>
      <c r="E16" s="142">
        <v>0</v>
      </c>
      <c r="F16" s="132">
        <v>511</v>
      </c>
      <c r="G16" s="373">
        <f t="shared" si="0"/>
        <v>511</v>
      </c>
      <c r="H16" s="461">
        <f>G16/G29</f>
        <v>0.01401305325508693</v>
      </c>
    </row>
    <row r="17" spans="1:8" ht="15" customHeight="1">
      <c r="A17" s="444">
        <v>12</v>
      </c>
      <c r="B17" s="445" t="s">
        <v>15</v>
      </c>
      <c r="C17" s="433">
        <v>0</v>
      </c>
      <c r="D17" s="141">
        <v>2</v>
      </c>
      <c r="E17" s="142">
        <v>10</v>
      </c>
      <c r="F17" s="142">
        <v>190</v>
      </c>
      <c r="G17" s="372">
        <f t="shared" si="0"/>
        <v>202</v>
      </c>
      <c r="H17" s="461">
        <f>G17/G29</f>
        <v>0.005539406570504031</v>
      </c>
    </row>
    <row r="18" spans="1:8" ht="15" customHeight="1">
      <c r="A18" s="444">
        <v>13</v>
      </c>
      <c r="B18" s="445" t="s">
        <v>16</v>
      </c>
      <c r="C18" s="433">
        <v>0</v>
      </c>
      <c r="D18" s="141">
        <v>3</v>
      </c>
      <c r="E18" s="142">
        <v>0</v>
      </c>
      <c r="F18" s="142">
        <v>949</v>
      </c>
      <c r="G18" s="372">
        <f t="shared" si="0"/>
        <v>952</v>
      </c>
      <c r="H18" s="461">
        <f>G18/G29</f>
        <v>0.02610651017386058</v>
      </c>
    </row>
    <row r="19" spans="1:8" ht="15" customHeight="1">
      <c r="A19" s="444">
        <v>14</v>
      </c>
      <c r="B19" s="445" t="s">
        <v>17</v>
      </c>
      <c r="C19" s="433">
        <v>0</v>
      </c>
      <c r="D19" s="141">
        <v>66</v>
      </c>
      <c r="E19" s="142">
        <v>7</v>
      </c>
      <c r="F19" s="142">
        <v>776</v>
      </c>
      <c r="G19" s="372">
        <f t="shared" si="0"/>
        <v>849</v>
      </c>
      <c r="H19" s="461">
        <f>G19/G29</f>
        <v>0.023281961278999615</v>
      </c>
    </row>
    <row r="20" spans="1:8" ht="15" customHeight="1">
      <c r="A20" s="447">
        <v>15</v>
      </c>
      <c r="B20" s="445" t="s">
        <v>18</v>
      </c>
      <c r="C20" s="433">
        <v>0</v>
      </c>
      <c r="D20" s="141">
        <v>16</v>
      </c>
      <c r="E20" s="142">
        <v>0</v>
      </c>
      <c r="F20" s="142">
        <v>3124</v>
      </c>
      <c r="G20" s="372">
        <f t="shared" si="0"/>
        <v>3140</v>
      </c>
      <c r="H20" s="461">
        <f>G20/G29</f>
        <v>0.08610760708605276</v>
      </c>
    </row>
    <row r="21" spans="1:8" ht="15" customHeight="1">
      <c r="A21" s="444">
        <v>16</v>
      </c>
      <c r="B21" s="445" t="s">
        <v>19</v>
      </c>
      <c r="C21" s="433">
        <v>0</v>
      </c>
      <c r="D21" s="141">
        <v>8</v>
      </c>
      <c r="E21" s="142"/>
      <c r="F21" s="142">
        <v>586</v>
      </c>
      <c r="G21" s="373">
        <f t="shared" si="0"/>
        <v>594</v>
      </c>
      <c r="H21" s="461">
        <f>G21/G29</f>
        <v>0.016289146053858387</v>
      </c>
    </row>
    <row r="22" spans="1:8" ht="15" customHeight="1">
      <c r="A22" s="447">
        <v>17</v>
      </c>
      <c r="B22" s="445" t="s">
        <v>20</v>
      </c>
      <c r="C22" s="433">
        <v>0</v>
      </c>
      <c r="D22" s="141">
        <v>1</v>
      </c>
      <c r="E22" s="142">
        <v>0</v>
      </c>
      <c r="F22" s="142">
        <v>332</v>
      </c>
      <c r="G22" s="372">
        <f t="shared" si="0"/>
        <v>333</v>
      </c>
      <c r="H22" s="461">
        <f>G22/G29</f>
        <v>0.009131793999890309</v>
      </c>
    </row>
    <row r="23" spans="1:8" ht="15" customHeight="1">
      <c r="A23" s="444">
        <v>18</v>
      </c>
      <c r="B23" s="445" t="s">
        <v>21</v>
      </c>
      <c r="C23" s="433">
        <v>0</v>
      </c>
      <c r="D23" s="141">
        <v>59</v>
      </c>
      <c r="E23" s="142">
        <v>7</v>
      </c>
      <c r="F23" s="142">
        <v>417</v>
      </c>
      <c r="G23" s="372">
        <f t="shared" si="0"/>
        <v>483</v>
      </c>
      <c r="H23" s="461">
        <f>G23/G29</f>
        <v>0.013245214720561619</v>
      </c>
    </row>
    <row r="24" spans="1:8" ht="15" customHeight="1">
      <c r="A24" s="444">
        <v>19</v>
      </c>
      <c r="B24" s="445" t="s">
        <v>22</v>
      </c>
      <c r="C24" s="433">
        <v>0</v>
      </c>
      <c r="D24" s="141">
        <v>39</v>
      </c>
      <c r="E24" s="142">
        <v>12</v>
      </c>
      <c r="F24" s="142">
        <v>461</v>
      </c>
      <c r="G24" s="372">
        <f t="shared" si="0"/>
        <v>512</v>
      </c>
      <c r="H24" s="461">
        <f>G24/G29</f>
        <v>0.014040476059891406</v>
      </c>
    </row>
    <row r="25" spans="1:8" ht="36.75" customHeight="1">
      <c r="A25" s="447">
        <v>20</v>
      </c>
      <c r="B25" s="445" t="s">
        <v>23</v>
      </c>
      <c r="C25" s="433">
        <v>0</v>
      </c>
      <c r="D25" s="141">
        <v>0</v>
      </c>
      <c r="E25" s="142">
        <v>1</v>
      </c>
      <c r="F25" s="142">
        <v>50</v>
      </c>
      <c r="G25" s="374">
        <f t="shared" si="0"/>
        <v>51</v>
      </c>
      <c r="H25" s="461">
        <f>G25/G29</f>
        <v>0.0013985630450282455</v>
      </c>
    </row>
    <row r="26" spans="1:8" ht="15" customHeight="1">
      <c r="A26" s="444">
        <v>21</v>
      </c>
      <c r="B26" s="445" t="s">
        <v>24</v>
      </c>
      <c r="C26" s="433">
        <v>0</v>
      </c>
      <c r="D26" s="141">
        <v>0</v>
      </c>
      <c r="E26" s="142">
        <v>0</v>
      </c>
      <c r="F26" s="142">
        <v>20</v>
      </c>
      <c r="G26" s="372">
        <f t="shared" si="0"/>
        <v>20</v>
      </c>
      <c r="H26" s="461">
        <f>G26/G29</f>
        <v>0.000548456096089508</v>
      </c>
    </row>
    <row r="27" spans="1:8" ht="15" customHeight="1">
      <c r="A27" s="444">
        <v>22</v>
      </c>
      <c r="B27" s="448" t="s">
        <v>25</v>
      </c>
      <c r="C27" s="433">
        <v>0</v>
      </c>
      <c r="D27" s="141">
        <v>0</v>
      </c>
      <c r="E27" s="142">
        <v>0</v>
      </c>
      <c r="F27" s="142">
        <v>2651</v>
      </c>
      <c r="G27" s="372">
        <f t="shared" si="0"/>
        <v>2651</v>
      </c>
      <c r="H27" s="461">
        <f>G27/G29</f>
        <v>0.07269785553666429</v>
      </c>
    </row>
    <row r="28" spans="1:8" ht="15" customHeight="1" thickBot="1">
      <c r="A28" s="449">
        <v>23</v>
      </c>
      <c r="B28" s="450" t="s">
        <v>85</v>
      </c>
      <c r="C28" s="435">
        <v>0</v>
      </c>
      <c r="D28" s="290">
        <v>0</v>
      </c>
      <c r="E28" s="291">
        <v>0</v>
      </c>
      <c r="F28" s="291">
        <v>7</v>
      </c>
      <c r="G28" s="374">
        <f t="shared" si="0"/>
        <v>7</v>
      </c>
      <c r="H28" s="462">
        <f>G28/G29</f>
        <v>0.0001919596336313278</v>
      </c>
    </row>
    <row r="29" spans="1:8" ht="15" customHeight="1" thickBot="1">
      <c r="A29" s="451"/>
      <c r="B29" s="452" t="s">
        <v>26</v>
      </c>
      <c r="C29" s="436">
        <f>SUM(C6:C28)</f>
        <v>141</v>
      </c>
      <c r="D29" s="145">
        <f>SUM(D6:D28)</f>
        <v>4706</v>
      </c>
      <c r="E29" s="145">
        <f>SUM(E6:E28)</f>
        <v>3755</v>
      </c>
      <c r="F29" s="145">
        <f>SUM(F6:F28)</f>
        <v>27864</v>
      </c>
      <c r="G29" s="309">
        <f>SUM(G6:G28)</f>
        <v>36466</v>
      </c>
      <c r="H29" s="459">
        <f>G29/G29</f>
        <v>1</v>
      </c>
    </row>
    <row r="30" spans="1:7" ht="12.75">
      <c r="A30" s="152"/>
      <c r="B30" s="153"/>
      <c r="C30" s="154"/>
      <c r="D30" s="154"/>
      <c r="E30" s="154"/>
      <c r="F30" s="154"/>
      <c r="G30" s="154"/>
    </row>
    <row r="31" spans="1:7" ht="12.75">
      <c r="A31" s="57"/>
      <c r="B31" s="57"/>
      <c r="E31" s="41"/>
      <c r="F31" s="199" t="s">
        <v>34</v>
      </c>
      <c r="G31" s="41"/>
    </row>
    <row r="32" spans="1:7" ht="12.75">
      <c r="A32" s="625">
        <f>'benef., amount by month 09-13'!A30</f>
        <v>41687</v>
      </c>
      <c r="B32" s="625"/>
      <c r="E32" s="41"/>
      <c r="F32" s="199" t="s">
        <v>35</v>
      </c>
      <c r="G32" s="41"/>
    </row>
  </sheetData>
  <sheetProtection/>
  <mergeCells count="7">
    <mergeCell ref="A32:B32"/>
    <mergeCell ref="A2:G2"/>
    <mergeCell ref="C4:D4"/>
    <mergeCell ref="E4:F4"/>
    <mergeCell ref="G4:G5"/>
    <mergeCell ref="C3:H3"/>
    <mergeCell ref="H4:H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140625" style="0" bestFit="1" customWidth="1"/>
    <col min="2" max="2" width="41.57421875" style="0" customWidth="1"/>
    <col min="3" max="3" width="13.421875" style="0" bestFit="1" customWidth="1"/>
    <col min="4" max="4" width="12.140625" style="0" customWidth="1"/>
    <col min="5" max="5" width="12.7109375" style="0" customWidth="1"/>
    <col min="6" max="6" width="18.28125" style="0" customWidth="1"/>
    <col min="7" max="7" width="11.28125" style="0" bestFit="1" customWidth="1"/>
    <col min="8" max="8" width="14.421875" style="0" customWidth="1"/>
  </cols>
  <sheetData>
    <row r="1" ht="15" customHeight="1"/>
    <row r="2" ht="13.5" customHeight="1">
      <c r="B2" s="325" t="s">
        <v>101</v>
      </c>
    </row>
    <row r="3" spans="1:10" ht="27" customHeight="1">
      <c r="A3" s="292"/>
      <c r="B3" s="626" t="s">
        <v>98</v>
      </c>
      <c r="C3" s="626"/>
      <c r="D3" s="626"/>
      <c r="E3" s="626"/>
      <c r="F3" s="626"/>
      <c r="G3" s="626"/>
      <c r="H3" s="626"/>
      <c r="I3" s="626"/>
      <c r="J3" s="626"/>
    </row>
    <row r="4" spans="1:10" ht="12.75" customHeight="1" thickBot="1">
      <c r="A4" s="320"/>
      <c r="B4" s="626"/>
      <c r="C4" s="626"/>
      <c r="D4" s="626"/>
      <c r="E4" s="626"/>
      <c r="F4" s="626"/>
      <c r="G4" s="626"/>
      <c r="H4" s="626"/>
      <c r="I4" s="626"/>
      <c r="J4" s="626"/>
    </row>
    <row r="5" spans="1:8" ht="12.75" customHeight="1">
      <c r="A5" s="466" t="s">
        <v>3</v>
      </c>
      <c r="B5" s="467" t="s">
        <v>31</v>
      </c>
      <c r="C5" s="640" t="s">
        <v>28</v>
      </c>
      <c r="D5" s="641"/>
      <c r="E5" s="642" t="s">
        <v>29</v>
      </c>
      <c r="F5" s="643"/>
      <c r="G5" s="644" t="s">
        <v>26</v>
      </c>
      <c r="H5" s="638" t="s">
        <v>75</v>
      </c>
    </row>
    <row r="6" spans="1:8" ht="24.75" thickBot="1">
      <c r="A6" s="508"/>
      <c r="B6" s="508"/>
      <c r="C6" s="456" t="s">
        <v>33</v>
      </c>
      <c r="D6" s="457" t="s">
        <v>32</v>
      </c>
      <c r="E6" s="457" t="s">
        <v>32</v>
      </c>
      <c r="F6" s="458" t="s">
        <v>30</v>
      </c>
      <c r="G6" s="645"/>
      <c r="H6" s="639"/>
    </row>
    <row r="7" spans="1:8" ht="12.75">
      <c r="A7" s="468">
        <v>1</v>
      </c>
      <c r="B7" s="469" t="s">
        <v>4</v>
      </c>
      <c r="C7" s="453">
        <v>0</v>
      </c>
      <c r="D7" s="454">
        <v>0</v>
      </c>
      <c r="E7" s="310">
        <v>0</v>
      </c>
      <c r="F7" s="310">
        <v>159</v>
      </c>
      <c r="G7" s="455">
        <f aca="true" t="shared" si="0" ref="G7:G29">SUM(C7+D7+E7+F7)</f>
        <v>159</v>
      </c>
      <c r="H7" s="482">
        <f>G7/G30</f>
        <v>0.004390930932589545</v>
      </c>
    </row>
    <row r="8" spans="1:8" ht="12.75">
      <c r="A8" s="470">
        <v>2</v>
      </c>
      <c r="B8" s="445" t="s">
        <v>5</v>
      </c>
      <c r="C8" s="463">
        <v>0</v>
      </c>
      <c r="D8" s="297">
        <v>0</v>
      </c>
      <c r="E8" s="298">
        <v>0</v>
      </c>
      <c r="F8" s="298">
        <v>57</v>
      </c>
      <c r="G8" s="478">
        <f t="shared" si="0"/>
        <v>57</v>
      </c>
      <c r="H8" s="299">
        <f>G8/G30</f>
        <v>0.0015741073154566293</v>
      </c>
    </row>
    <row r="9" spans="1:8" ht="12.75">
      <c r="A9" s="470">
        <v>3</v>
      </c>
      <c r="B9" s="445" t="s">
        <v>6</v>
      </c>
      <c r="C9" s="463">
        <v>169</v>
      </c>
      <c r="D9" s="297">
        <v>0</v>
      </c>
      <c r="E9" s="298">
        <v>0</v>
      </c>
      <c r="F9" s="298">
        <v>2703</v>
      </c>
      <c r="G9" s="478">
        <f t="shared" si="0"/>
        <v>2872</v>
      </c>
      <c r="H9" s="299">
        <f>G9/G30</f>
        <v>0.07931291596476209</v>
      </c>
    </row>
    <row r="10" spans="1:8" ht="25.5">
      <c r="A10" s="470">
        <v>4</v>
      </c>
      <c r="B10" s="445" t="s">
        <v>7</v>
      </c>
      <c r="C10" s="464">
        <v>0</v>
      </c>
      <c r="D10" s="300">
        <v>0</v>
      </c>
      <c r="E10" s="301">
        <v>0</v>
      </c>
      <c r="F10" s="302">
        <v>17</v>
      </c>
      <c r="G10" s="479">
        <f t="shared" si="0"/>
        <v>17</v>
      </c>
      <c r="H10" s="299">
        <f>G10/G30</f>
        <v>0.0004694706028554859</v>
      </c>
    </row>
    <row r="11" spans="1:8" ht="25.5">
      <c r="A11" s="470">
        <v>5</v>
      </c>
      <c r="B11" s="445" t="s">
        <v>8</v>
      </c>
      <c r="C11" s="463">
        <v>0</v>
      </c>
      <c r="D11" s="297">
        <v>0</v>
      </c>
      <c r="E11" s="298">
        <v>0</v>
      </c>
      <c r="F11" s="298">
        <v>27</v>
      </c>
      <c r="G11" s="479">
        <f t="shared" si="0"/>
        <v>27</v>
      </c>
      <c r="H11" s="299">
        <f>G11/G30</f>
        <v>0.0007456297810057717</v>
      </c>
    </row>
    <row r="12" spans="1:8" ht="12.75">
      <c r="A12" s="470">
        <v>6</v>
      </c>
      <c r="B12" s="471" t="s">
        <v>9</v>
      </c>
      <c r="C12" s="464">
        <v>0</v>
      </c>
      <c r="D12" s="300">
        <v>5</v>
      </c>
      <c r="E12" s="301">
        <v>8</v>
      </c>
      <c r="F12" s="301">
        <v>4710</v>
      </c>
      <c r="G12" s="480">
        <f t="shared" si="0"/>
        <v>4723</v>
      </c>
      <c r="H12" s="303">
        <f>G12/G30</f>
        <v>0.13042997984038</v>
      </c>
    </row>
    <row r="13" spans="1:8" ht="25.5">
      <c r="A13" s="470">
        <v>7</v>
      </c>
      <c r="B13" s="471" t="s">
        <v>10</v>
      </c>
      <c r="C13" s="464">
        <v>0</v>
      </c>
      <c r="D13" s="300">
        <v>251</v>
      </c>
      <c r="E13" s="301">
        <v>21</v>
      </c>
      <c r="F13" s="301">
        <v>5726</v>
      </c>
      <c r="G13" s="479">
        <f t="shared" si="0"/>
        <v>5998</v>
      </c>
      <c r="H13" s="303">
        <f>G13/G30</f>
        <v>0.16564027505454143</v>
      </c>
    </row>
    <row r="14" spans="1:8" ht="12.75">
      <c r="A14" s="470">
        <v>8</v>
      </c>
      <c r="B14" s="445" t="s">
        <v>11</v>
      </c>
      <c r="C14" s="464">
        <v>0</v>
      </c>
      <c r="D14" s="304">
        <v>59</v>
      </c>
      <c r="E14" s="304">
        <v>5</v>
      </c>
      <c r="F14" s="302">
        <v>1115</v>
      </c>
      <c r="G14" s="479">
        <f t="shared" si="0"/>
        <v>1179</v>
      </c>
      <c r="H14" s="299">
        <f>G14/G30</f>
        <v>0.0325591671039187</v>
      </c>
    </row>
    <row r="15" spans="1:8" ht="12.75">
      <c r="A15" s="470">
        <v>9</v>
      </c>
      <c r="B15" s="471" t="s">
        <v>12</v>
      </c>
      <c r="C15" s="464">
        <v>0</v>
      </c>
      <c r="D15" s="300">
        <v>4351</v>
      </c>
      <c r="E15" s="301">
        <f>22+3568</f>
        <v>3590</v>
      </c>
      <c r="F15" s="301">
        <v>3014</v>
      </c>
      <c r="G15" s="479">
        <f t="shared" si="0"/>
        <v>10955</v>
      </c>
      <c r="H15" s="303">
        <f>G15/G30</f>
        <v>0.3025323796636381</v>
      </c>
    </row>
    <row r="16" spans="1:8" ht="12.75">
      <c r="A16" s="470">
        <v>10</v>
      </c>
      <c r="B16" s="445" t="s">
        <v>13</v>
      </c>
      <c r="C16" s="463">
        <v>0</v>
      </c>
      <c r="D16" s="297">
        <v>0</v>
      </c>
      <c r="E16" s="298">
        <v>2</v>
      </c>
      <c r="F16" s="298">
        <v>369</v>
      </c>
      <c r="G16" s="478">
        <f t="shared" si="0"/>
        <v>371</v>
      </c>
      <c r="H16" s="299">
        <f>G16/G30</f>
        <v>0.010245505509375604</v>
      </c>
    </row>
    <row r="17" spans="1:8" ht="12.75">
      <c r="A17" s="470">
        <v>11</v>
      </c>
      <c r="B17" s="445" t="s">
        <v>14</v>
      </c>
      <c r="C17" s="463">
        <v>0</v>
      </c>
      <c r="D17" s="297">
        <v>0</v>
      </c>
      <c r="E17" s="298">
        <v>0</v>
      </c>
      <c r="F17" s="302">
        <v>682</v>
      </c>
      <c r="G17" s="479">
        <f t="shared" si="0"/>
        <v>682</v>
      </c>
      <c r="H17" s="299">
        <f>G17/G30</f>
        <v>0.018834055949849493</v>
      </c>
    </row>
    <row r="18" spans="1:8" ht="12.75">
      <c r="A18" s="470">
        <v>12</v>
      </c>
      <c r="B18" s="445" t="s">
        <v>15</v>
      </c>
      <c r="C18" s="463">
        <v>0</v>
      </c>
      <c r="D18" s="297">
        <v>2</v>
      </c>
      <c r="E18" s="298">
        <v>12</v>
      </c>
      <c r="F18" s="298">
        <v>187</v>
      </c>
      <c r="G18" s="478">
        <f t="shared" si="0"/>
        <v>201</v>
      </c>
      <c r="H18" s="299">
        <f>G18/G30</f>
        <v>0.005550799480820745</v>
      </c>
    </row>
    <row r="19" spans="1:8" ht="12.75">
      <c r="A19" s="470">
        <v>13</v>
      </c>
      <c r="B19" s="445" t="s">
        <v>16</v>
      </c>
      <c r="C19" s="463">
        <v>0</v>
      </c>
      <c r="D19" s="297">
        <v>3</v>
      </c>
      <c r="E19" s="298">
        <v>0</v>
      </c>
      <c r="F19" s="298">
        <v>955</v>
      </c>
      <c r="G19" s="478">
        <f t="shared" si="0"/>
        <v>958</v>
      </c>
      <c r="H19" s="299">
        <f>G19/G30</f>
        <v>0.02645604926679738</v>
      </c>
    </row>
    <row r="20" spans="1:8" ht="12.75">
      <c r="A20" s="470">
        <v>14</v>
      </c>
      <c r="B20" s="445" t="s">
        <v>17</v>
      </c>
      <c r="C20" s="463">
        <v>0</v>
      </c>
      <c r="D20" s="297">
        <v>69</v>
      </c>
      <c r="E20" s="298">
        <v>7</v>
      </c>
      <c r="F20" s="298">
        <v>751</v>
      </c>
      <c r="G20" s="478">
        <f t="shared" si="0"/>
        <v>827</v>
      </c>
      <c r="H20" s="299">
        <f>G20/G30</f>
        <v>0.02283836403302864</v>
      </c>
    </row>
    <row r="21" spans="1:8" ht="25.5">
      <c r="A21" s="472">
        <v>15</v>
      </c>
      <c r="B21" s="445" t="s">
        <v>18</v>
      </c>
      <c r="C21" s="463">
        <v>0</v>
      </c>
      <c r="D21" s="297">
        <v>16</v>
      </c>
      <c r="E21" s="298">
        <v>0</v>
      </c>
      <c r="F21" s="298">
        <v>2759</v>
      </c>
      <c r="G21" s="478">
        <f t="shared" si="0"/>
        <v>2775</v>
      </c>
      <c r="H21" s="299">
        <f>G21/G30</f>
        <v>0.07663417193670431</v>
      </c>
    </row>
    <row r="22" spans="1:8" ht="12.75">
      <c r="A22" s="470">
        <v>16</v>
      </c>
      <c r="B22" s="445" t="s">
        <v>19</v>
      </c>
      <c r="C22" s="463">
        <v>0</v>
      </c>
      <c r="D22" s="297">
        <v>9</v>
      </c>
      <c r="E22" s="298"/>
      <c r="F22" s="298">
        <v>413</v>
      </c>
      <c r="G22" s="479">
        <f t="shared" si="0"/>
        <v>422</v>
      </c>
      <c r="H22" s="299">
        <f>G22/G30</f>
        <v>0.011653917317942061</v>
      </c>
    </row>
    <row r="23" spans="1:8" ht="12.75">
      <c r="A23" s="472">
        <v>17</v>
      </c>
      <c r="B23" s="445" t="s">
        <v>20</v>
      </c>
      <c r="C23" s="463">
        <v>0</v>
      </c>
      <c r="D23" s="297">
        <v>1</v>
      </c>
      <c r="E23" s="298">
        <v>0</v>
      </c>
      <c r="F23" s="298">
        <v>333</v>
      </c>
      <c r="G23" s="478">
        <f t="shared" si="0"/>
        <v>334</v>
      </c>
      <c r="H23" s="299">
        <f>G23/G30</f>
        <v>0.009223716550219547</v>
      </c>
    </row>
    <row r="24" spans="1:8" ht="12.75">
      <c r="A24" s="470">
        <v>18</v>
      </c>
      <c r="B24" s="445" t="s">
        <v>21</v>
      </c>
      <c r="C24" s="463">
        <v>0</v>
      </c>
      <c r="D24" s="297">
        <v>60</v>
      </c>
      <c r="E24" s="298">
        <v>7</v>
      </c>
      <c r="F24" s="298">
        <v>414</v>
      </c>
      <c r="G24" s="478">
        <f t="shared" si="0"/>
        <v>481</v>
      </c>
      <c r="H24" s="299">
        <f>G24/G30</f>
        <v>0.013283256469028748</v>
      </c>
    </row>
    <row r="25" spans="1:8" ht="12.75">
      <c r="A25" s="470">
        <v>19</v>
      </c>
      <c r="B25" s="445" t="s">
        <v>22</v>
      </c>
      <c r="C25" s="463">
        <v>0</v>
      </c>
      <c r="D25" s="297">
        <v>30</v>
      </c>
      <c r="E25" s="298">
        <v>11</v>
      </c>
      <c r="F25" s="298">
        <v>474</v>
      </c>
      <c r="G25" s="478">
        <f t="shared" si="0"/>
        <v>515</v>
      </c>
      <c r="H25" s="299">
        <f>G25/G30</f>
        <v>0.01422219767473972</v>
      </c>
    </row>
    <row r="26" spans="1:8" ht="38.25">
      <c r="A26" s="472">
        <v>20</v>
      </c>
      <c r="B26" s="445" t="s">
        <v>23</v>
      </c>
      <c r="C26" s="463">
        <v>0</v>
      </c>
      <c r="D26" s="297">
        <v>0</v>
      </c>
      <c r="E26" s="298">
        <v>1</v>
      </c>
      <c r="F26" s="298">
        <v>51</v>
      </c>
      <c r="G26" s="481">
        <f t="shared" si="0"/>
        <v>52</v>
      </c>
      <c r="H26" s="299">
        <f>G26/G30</f>
        <v>0.0014360277263814863</v>
      </c>
    </row>
    <row r="27" spans="1:8" ht="25.5">
      <c r="A27" s="470">
        <v>21</v>
      </c>
      <c r="B27" s="445" t="s">
        <v>24</v>
      </c>
      <c r="C27" s="463">
        <v>0</v>
      </c>
      <c r="D27" s="297">
        <v>0</v>
      </c>
      <c r="E27" s="298">
        <v>0</v>
      </c>
      <c r="F27" s="298">
        <v>17</v>
      </c>
      <c r="G27" s="478">
        <f t="shared" si="0"/>
        <v>17</v>
      </c>
      <c r="H27" s="299">
        <f>G27/G30</f>
        <v>0.0004694706028554859</v>
      </c>
    </row>
    <row r="28" spans="1:8" ht="12.75">
      <c r="A28" s="470">
        <v>22</v>
      </c>
      <c r="B28" s="473" t="s">
        <v>25</v>
      </c>
      <c r="C28" s="463">
        <v>0</v>
      </c>
      <c r="D28" s="297">
        <v>0</v>
      </c>
      <c r="E28" s="298">
        <v>0</v>
      </c>
      <c r="F28" s="298">
        <v>2580</v>
      </c>
      <c r="G28" s="478">
        <f t="shared" si="0"/>
        <v>2580</v>
      </c>
      <c r="H28" s="299">
        <f>G28/G30</f>
        <v>0.07124906796277375</v>
      </c>
    </row>
    <row r="29" spans="1:8" ht="13.5" thickBot="1">
      <c r="A29" s="474">
        <v>23</v>
      </c>
      <c r="B29" s="475" t="s">
        <v>85</v>
      </c>
      <c r="C29" s="465">
        <v>0</v>
      </c>
      <c r="D29" s="305">
        <v>0</v>
      </c>
      <c r="E29" s="306">
        <v>0</v>
      </c>
      <c r="F29" s="306">
        <v>9</v>
      </c>
      <c r="G29" s="481">
        <f t="shared" si="0"/>
        <v>9</v>
      </c>
      <c r="H29" s="483">
        <f>G29/G30</f>
        <v>0.00024854326033525725</v>
      </c>
    </row>
    <row r="30" spans="1:8" ht="13.5" thickBot="1">
      <c r="A30" s="476"/>
      <c r="B30" s="477" t="s">
        <v>26</v>
      </c>
      <c r="C30" s="484">
        <f aca="true" t="shared" si="1" ref="C30:H30">SUM(C7:C29)</f>
        <v>169</v>
      </c>
      <c r="D30" s="485">
        <f t="shared" si="1"/>
        <v>4856</v>
      </c>
      <c r="E30" s="486">
        <f t="shared" si="1"/>
        <v>3664</v>
      </c>
      <c r="F30" s="486">
        <f t="shared" si="1"/>
        <v>27522</v>
      </c>
      <c r="G30" s="487">
        <f t="shared" si="1"/>
        <v>36211</v>
      </c>
      <c r="H30" s="307">
        <f t="shared" si="1"/>
        <v>1.0000000000000002</v>
      </c>
    </row>
    <row r="31" spans="1:7" ht="12.75">
      <c r="A31" s="152"/>
      <c r="B31" s="153"/>
      <c r="C31" s="154"/>
      <c r="D31" s="154"/>
      <c r="E31" s="154"/>
      <c r="F31" s="154"/>
      <c r="G31" s="154"/>
    </row>
    <row r="32" spans="1:7" ht="12.75">
      <c r="A32" s="57"/>
      <c r="B32" s="57"/>
      <c r="E32" s="41"/>
      <c r="F32" s="199" t="s">
        <v>34</v>
      </c>
      <c r="G32" s="41"/>
    </row>
    <row r="33" spans="1:7" ht="12.75">
      <c r="A33" s="625">
        <f>'benef., amount by month 09-13'!A30</f>
        <v>41687</v>
      </c>
      <c r="B33" s="625"/>
      <c r="E33" s="41"/>
      <c r="F33" s="199" t="s">
        <v>35</v>
      </c>
      <c r="G33" s="41"/>
    </row>
  </sheetData>
  <sheetProtection/>
  <mergeCells count="6">
    <mergeCell ref="A33:B33"/>
    <mergeCell ref="B3:J4"/>
    <mergeCell ref="H5:H6"/>
    <mergeCell ref="C5:D5"/>
    <mergeCell ref="E5:F5"/>
    <mergeCell ref="G5:G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4.140625" style="0" bestFit="1" customWidth="1"/>
    <col min="2" max="2" width="51.28125" style="0" customWidth="1"/>
    <col min="3" max="3" width="13.421875" style="0" bestFit="1" customWidth="1"/>
    <col min="4" max="5" width="11.7109375" style="0" bestFit="1" customWidth="1"/>
    <col min="6" max="6" width="14.140625" style="0" customWidth="1"/>
    <col min="7" max="7" width="11.28125" style="0" bestFit="1" customWidth="1"/>
    <col min="8" max="8" width="15.140625" style="0" customWidth="1"/>
    <col min="10" max="10" width="4.00390625" style="0" customWidth="1"/>
    <col min="11" max="12" width="9.140625" style="0" hidden="1" customWidth="1"/>
  </cols>
  <sheetData>
    <row r="1" ht="15" customHeight="1"/>
    <row r="2" ht="12.75">
      <c r="B2" s="325" t="s">
        <v>102</v>
      </c>
    </row>
    <row r="3" spans="1:12" ht="15" customHeight="1">
      <c r="A3" s="292"/>
      <c r="B3" s="626" t="s">
        <v>104</v>
      </c>
      <c r="C3" s="626"/>
      <c r="D3" s="626"/>
      <c r="E3" s="626"/>
      <c r="F3" s="626"/>
      <c r="G3" s="626"/>
      <c r="H3" s="626"/>
      <c r="I3" s="308"/>
      <c r="J3" s="308"/>
      <c r="K3" s="308"/>
      <c r="L3" s="308"/>
    </row>
    <row r="4" spans="2:12" ht="20.25" customHeight="1" thickBot="1">
      <c r="B4" s="648"/>
      <c r="C4" s="648"/>
      <c r="D4" s="648"/>
      <c r="E4" s="648"/>
      <c r="F4" s="648"/>
      <c r="G4" s="648"/>
      <c r="H4" s="648"/>
      <c r="I4" s="308"/>
      <c r="J4" s="308"/>
      <c r="K4" s="308"/>
      <c r="L4" s="308"/>
    </row>
    <row r="5" spans="1:8" ht="12.75" customHeight="1">
      <c r="A5" s="490"/>
      <c r="B5" s="491"/>
      <c r="C5" s="649" t="s">
        <v>27</v>
      </c>
      <c r="D5" s="650"/>
      <c r="E5" s="650"/>
      <c r="F5" s="650"/>
      <c r="G5" s="651" t="s">
        <v>26</v>
      </c>
      <c r="H5" s="654" t="s">
        <v>75</v>
      </c>
    </row>
    <row r="6" spans="1:8" ht="12.75" customHeight="1">
      <c r="A6" s="492" t="s">
        <v>3</v>
      </c>
      <c r="B6" s="493" t="s">
        <v>31</v>
      </c>
      <c r="C6" s="657" t="s">
        <v>28</v>
      </c>
      <c r="D6" s="658"/>
      <c r="E6" s="659" t="s">
        <v>29</v>
      </c>
      <c r="F6" s="660"/>
      <c r="G6" s="652"/>
      <c r="H6" s="655"/>
    </row>
    <row r="7" spans="1:8" ht="24.75" thickBot="1">
      <c r="A7" s="504"/>
      <c r="B7" s="504"/>
      <c r="C7" s="505" t="s">
        <v>33</v>
      </c>
      <c r="D7" s="506" t="s">
        <v>32</v>
      </c>
      <c r="E7" s="506" t="s">
        <v>32</v>
      </c>
      <c r="F7" s="507" t="s">
        <v>30</v>
      </c>
      <c r="G7" s="653"/>
      <c r="H7" s="656"/>
    </row>
    <row r="8" spans="1:8" ht="12.75">
      <c r="A8" s="468">
        <v>1</v>
      </c>
      <c r="B8" s="502" t="s">
        <v>4</v>
      </c>
      <c r="C8" s="215">
        <v>0</v>
      </c>
      <c r="D8" s="310">
        <v>0</v>
      </c>
      <c r="E8" s="310">
        <v>0</v>
      </c>
      <c r="F8" s="310">
        <v>159</v>
      </c>
      <c r="G8" s="310">
        <f>C8+D8+E8+F8</f>
        <v>159</v>
      </c>
      <c r="H8" s="503">
        <f>G8/G31</f>
        <v>0.004512686609524891</v>
      </c>
    </row>
    <row r="9" spans="1:8" ht="12.75">
      <c r="A9" s="444">
        <v>2</v>
      </c>
      <c r="B9" s="494" t="s">
        <v>5</v>
      </c>
      <c r="C9" s="214">
        <v>0</v>
      </c>
      <c r="D9" s="142">
        <v>0</v>
      </c>
      <c r="E9" s="142">
        <v>0</v>
      </c>
      <c r="F9" s="142">
        <v>58</v>
      </c>
      <c r="G9" s="312">
        <f aca="true" t="shared" si="0" ref="G9:G30">C9+D9+E9+F9</f>
        <v>58</v>
      </c>
      <c r="H9" s="311">
        <f>G9/G31</f>
        <v>0.0016461372537889538</v>
      </c>
    </row>
    <row r="10" spans="1:8" ht="12.75">
      <c r="A10" s="444">
        <v>3</v>
      </c>
      <c r="B10" s="494" t="s">
        <v>6</v>
      </c>
      <c r="C10" s="214">
        <v>103</v>
      </c>
      <c r="D10" s="142">
        <v>0</v>
      </c>
      <c r="E10" s="142">
        <v>0</v>
      </c>
      <c r="F10" s="142">
        <v>2762</v>
      </c>
      <c r="G10" s="312">
        <f>C10+D10+E10+F10</f>
        <v>2865</v>
      </c>
      <c r="H10" s="311">
        <f>G10/G31</f>
        <v>0.08131350400181643</v>
      </c>
    </row>
    <row r="11" spans="1:8" ht="12.75">
      <c r="A11" s="444">
        <v>4</v>
      </c>
      <c r="B11" s="494" t="s">
        <v>7</v>
      </c>
      <c r="C11" s="488">
        <v>0</v>
      </c>
      <c r="D11" s="144">
        <v>0</v>
      </c>
      <c r="E11" s="144">
        <v>0</v>
      </c>
      <c r="F11" s="132">
        <v>17</v>
      </c>
      <c r="G11" s="312">
        <f t="shared" si="0"/>
        <v>17</v>
      </c>
      <c r="H11" s="311">
        <f>G11/G31</f>
        <v>0.0004824885054209003</v>
      </c>
    </row>
    <row r="12" spans="1:8" ht="12.75">
      <c r="A12" s="444">
        <v>5</v>
      </c>
      <c r="B12" s="494" t="s">
        <v>8</v>
      </c>
      <c r="C12" s="214">
        <v>0</v>
      </c>
      <c r="D12" s="142">
        <v>0</v>
      </c>
      <c r="E12" s="142">
        <v>0</v>
      </c>
      <c r="F12" s="142">
        <v>23</v>
      </c>
      <c r="G12" s="312">
        <f t="shared" si="0"/>
        <v>23</v>
      </c>
      <c r="H12" s="311">
        <f>G12/G31</f>
        <v>0.0006527785661576886</v>
      </c>
    </row>
    <row r="13" spans="1:8" ht="12.75">
      <c r="A13" s="444">
        <v>6</v>
      </c>
      <c r="B13" s="495" t="s">
        <v>9</v>
      </c>
      <c r="C13" s="488">
        <v>0</v>
      </c>
      <c r="D13" s="144">
        <v>5</v>
      </c>
      <c r="E13" s="144">
        <v>8</v>
      </c>
      <c r="F13" s="144">
        <v>4668</v>
      </c>
      <c r="G13" s="313">
        <f>C13+D13+E13+F13</f>
        <v>4681</v>
      </c>
      <c r="H13" s="314">
        <f>G13/G31</f>
        <v>0.13285462905148437</v>
      </c>
    </row>
    <row r="14" spans="1:8" ht="12.75">
      <c r="A14" s="444">
        <v>7</v>
      </c>
      <c r="B14" s="495" t="s">
        <v>10</v>
      </c>
      <c r="C14" s="488">
        <v>0</v>
      </c>
      <c r="D14" s="144">
        <v>244</v>
      </c>
      <c r="E14" s="144">
        <v>21</v>
      </c>
      <c r="F14" s="144">
        <v>5979</v>
      </c>
      <c r="G14" s="313">
        <f t="shared" si="0"/>
        <v>6244</v>
      </c>
      <c r="H14" s="314">
        <f>G14/G31</f>
        <v>0.17721518987341772</v>
      </c>
    </row>
    <row r="15" spans="1:8" ht="12.75">
      <c r="A15" s="444">
        <v>8</v>
      </c>
      <c r="B15" s="494" t="s">
        <v>11</v>
      </c>
      <c r="C15" s="488">
        <v>0</v>
      </c>
      <c r="D15" s="132">
        <v>58</v>
      </c>
      <c r="E15" s="132">
        <v>5</v>
      </c>
      <c r="F15" s="132">
        <v>1083</v>
      </c>
      <c r="G15" s="312">
        <f t="shared" si="0"/>
        <v>1146</v>
      </c>
      <c r="H15" s="311">
        <f>G15/G31</f>
        <v>0.03252540160072657</v>
      </c>
    </row>
    <row r="16" spans="1:8" ht="12.75">
      <c r="A16" s="444">
        <v>9</v>
      </c>
      <c r="B16" s="495" t="s">
        <v>12</v>
      </c>
      <c r="C16" s="488">
        <v>0</v>
      </c>
      <c r="D16" s="144">
        <f>3564+65</f>
        <v>3629</v>
      </c>
      <c r="E16" s="144">
        <f>3376+19</f>
        <v>3395</v>
      </c>
      <c r="F16" s="144">
        <v>2944</v>
      </c>
      <c r="G16" s="313">
        <f t="shared" si="0"/>
        <v>9968</v>
      </c>
      <c r="H16" s="314">
        <f>G16/G31</f>
        <v>0.28290855423738437</v>
      </c>
    </row>
    <row r="17" spans="1:8" ht="12.75">
      <c r="A17" s="444">
        <v>10</v>
      </c>
      <c r="B17" s="494" t="s">
        <v>13</v>
      </c>
      <c r="C17" s="214">
        <v>0</v>
      </c>
      <c r="D17" s="142">
        <v>0</v>
      </c>
      <c r="E17" s="142">
        <v>1</v>
      </c>
      <c r="F17" s="142">
        <v>370</v>
      </c>
      <c r="G17" s="312">
        <f t="shared" si="0"/>
        <v>371</v>
      </c>
      <c r="H17" s="311">
        <f>G17/G31</f>
        <v>0.010529602088891412</v>
      </c>
    </row>
    <row r="18" spans="1:8" ht="12.75">
      <c r="A18" s="444">
        <v>11</v>
      </c>
      <c r="B18" s="494" t="s">
        <v>14</v>
      </c>
      <c r="C18" s="214">
        <v>0</v>
      </c>
      <c r="D18" s="142">
        <v>0</v>
      </c>
      <c r="E18" s="142">
        <v>0</v>
      </c>
      <c r="F18" s="132">
        <v>691</v>
      </c>
      <c r="G18" s="312">
        <f t="shared" si="0"/>
        <v>691</v>
      </c>
      <c r="H18" s="311">
        <f>G18/G31</f>
        <v>0.019611738661520123</v>
      </c>
    </row>
    <row r="19" spans="1:8" ht="12.75">
      <c r="A19" s="444">
        <v>12</v>
      </c>
      <c r="B19" s="494" t="s">
        <v>15</v>
      </c>
      <c r="C19" s="214">
        <v>0</v>
      </c>
      <c r="D19" s="142">
        <v>2</v>
      </c>
      <c r="E19" s="142">
        <v>9</v>
      </c>
      <c r="F19" s="142">
        <v>166</v>
      </c>
      <c r="G19" s="312">
        <f t="shared" si="0"/>
        <v>177</v>
      </c>
      <c r="H19" s="311">
        <f>G19/G31</f>
        <v>0.005023556791735256</v>
      </c>
    </row>
    <row r="20" spans="1:8" ht="12.75">
      <c r="A20" s="444">
        <v>13</v>
      </c>
      <c r="B20" s="494" t="s">
        <v>16</v>
      </c>
      <c r="C20" s="214">
        <v>0</v>
      </c>
      <c r="D20" s="142">
        <v>3</v>
      </c>
      <c r="E20" s="142">
        <v>0</v>
      </c>
      <c r="F20" s="142">
        <v>977</v>
      </c>
      <c r="G20" s="312">
        <f t="shared" si="0"/>
        <v>980</v>
      </c>
      <c r="H20" s="311">
        <f>G20/G31</f>
        <v>0.027814043253675428</v>
      </c>
    </row>
    <row r="21" spans="1:8" ht="12.75">
      <c r="A21" s="444">
        <v>14</v>
      </c>
      <c r="B21" s="494" t="s">
        <v>17</v>
      </c>
      <c r="C21" s="214">
        <v>0</v>
      </c>
      <c r="D21" s="142">
        <v>69</v>
      </c>
      <c r="E21" s="142">
        <v>6</v>
      </c>
      <c r="F21" s="142">
        <v>745</v>
      </c>
      <c r="G21" s="312">
        <f t="shared" si="0"/>
        <v>820</v>
      </c>
      <c r="H21" s="311">
        <f>G21/G31</f>
        <v>0.02327297496736107</v>
      </c>
    </row>
    <row r="22" spans="1:8" ht="12.75">
      <c r="A22" s="444">
        <v>15</v>
      </c>
      <c r="B22" s="494" t="s">
        <v>18</v>
      </c>
      <c r="C22" s="214">
        <v>0</v>
      </c>
      <c r="D22" s="142">
        <v>16</v>
      </c>
      <c r="E22" s="142">
        <v>0</v>
      </c>
      <c r="F22" s="142">
        <v>2707</v>
      </c>
      <c r="G22" s="312">
        <f t="shared" si="0"/>
        <v>2723</v>
      </c>
      <c r="H22" s="311">
        <f>G22/G31</f>
        <v>0.07728330589771244</v>
      </c>
    </row>
    <row r="23" spans="1:8" ht="12.75">
      <c r="A23" s="444">
        <v>16</v>
      </c>
      <c r="B23" s="494" t="s">
        <v>19</v>
      </c>
      <c r="C23" s="214">
        <v>0</v>
      </c>
      <c r="D23" s="142">
        <v>10</v>
      </c>
      <c r="E23" s="142"/>
      <c r="F23" s="142">
        <v>392</v>
      </c>
      <c r="G23" s="312">
        <f t="shared" si="0"/>
        <v>402</v>
      </c>
      <c r="H23" s="311">
        <f>G23/G31</f>
        <v>0.011409434069364817</v>
      </c>
    </row>
    <row r="24" spans="1:8" ht="12.75">
      <c r="A24" s="444">
        <v>17</v>
      </c>
      <c r="B24" s="494" t="s">
        <v>20</v>
      </c>
      <c r="C24" s="214">
        <v>0</v>
      </c>
      <c r="D24" s="142">
        <v>1</v>
      </c>
      <c r="E24" s="142">
        <v>0</v>
      </c>
      <c r="F24" s="142">
        <v>333</v>
      </c>
      <c r="G24" s="312">
        <f t="shared" si="0"/>
        <v>334</v>
      </c>
      <c r="H24" s="311">
        <f>G24/G31</f>
        <v>0.009479480047681217</v>
      </c>
    </row>
    <row r="25" spans="1:8" ht="12.75">
      <c r="A25" s="444">
        <v>18</v>
      </c>
      <c r="B25" s="496" t="s">
        <v>21</v>
      </c>
      <c r="C25" s="214">
        <v>0</v>
      </c>
      <c r="D25" s="142">
        <v>53</v>
      </c>
      <c r="E25" s="142">
        <v>7</v>
      </c>
      <c r="F25" s="142">
        <v>408</v>
      </c>
      <c r="G25" s="312">
        <f t="shared" si="0"/>
        <v>468</v>
      </c>
      <c r="H25" s="311">
        <f>G25/G31</f>
        <v>0.01328262473746949</v>
      </c>
    </row>
    <row r="26" spans="1:8" ht="12.75">
      <c r="A26" s="444">
        <v>19</v>
      </c>
      <c r="B26" s="496" t="s">
        <v>22</v>
      </c>
      <c r="C26" s="214">
        <v>0</v>
      </c>
      <c r="D26" s="142">
        <v>31</v>
      </c>
      <c r="E26" s="142">
        <v>11</v>
      </c>
      <c r="F26" s="142">
        <v>470</v>
      </c>
      <c r="G26" s="312">
        <f t="shared" si="0"/>
        <v>512</v>
      </c>
      <c r="H26" s="311">
        <f>G26/G31</f>
        <v>0.014531418516205938</v>
      </c>
    </row>
    <row r="27" spans="1:8" ht="38.25">
      <c r="A27" s="444">
        <v>20</v>
      </c>
      <c r="B27" s="497" t="s">
        <v>23</v>
      </c>
      <c r="C27" s="214">
        <v>0</v>
      </c>
      <c r="D27" s="142">
        <v>0</v>
      </c>
      <c r="E27" s="142">
        <v>1</v>
      </c>
      <c r="F27" s="142">
        <v>51</v>
      </c>
      <c r="G27" s="312">
        <f t="shared" si="0"/>
        <v>52</v>
      </c>
      <c r="H27" s="311">
        <f>G27/G31</f>
        <v>0.0014758471930521656</v>
      </c>
    </row>
    <row r="28" spans="1:8" ht="12.75">
      <c r="A28" s="444">
        <v>21</v>
      </c>
      <c r="B28" s="496" t="s">
        <v>24</v>
      </c>
      <c r="C28" s="214">
        <v>0</v>
      </c>
      <c r="D28" s="142">
        <v>0</v>
      </c>
      <c r="E28" s="142">
        <v>0</v>
      </c>
      <c r="F28" s="142">
        <v>19</v>
      </c>
      <c r="G28" s="312">
        <f t="shared" si="0"/>
        <v>19</v>
      </c>
      <c r="H28" s="311">
        <f>G28/G31</f>
        <v>0.0005392518589998297</v>
      </c>
    </row>
    <row r="29" spans="1:8" ht="12.75">
      <c r="A29" s="444">
        <v>22</v>
      </c>
      <c r="B29" s="498" t="s">
        <v>25</v>
      </c>
      <c r="C29" s="214">
        <v>0</v>
      </c>
      <c r="D29" s="142">
        <v>0</v>
      </c>
      <c r="E29" s="142">
        <v>0</v>
      </c>
      <c r="F29" s="142">
        <v>2501</v>
      </c>
      <c r="G29" s="312">
        <f t="shared" si="0"/>
        <v>2501</v>
      </c>
      <c r="H29" s="311">
        <f>G29/G31</f>
        <v>0.07098257365045127</v>
      </c>
    </row>
    <row r="30" spans="1:8" ht="13.5" thickBot="1">
      <c r="A30" s="444">
        <v>23</v>
      </c>
      <c r="B30" s="499" t="s">
        <v>85</v>
      </c>
      <c r="C30" s="489">
        <v>0</v>
      </c>
      <c r="D30" s="296">
        <v>0</v>
      </c>
      <c r="E30" s="296">
        <v>0</v>
      </c>
      <c r="F30" s="296">
        <v>23</v>
      </c>
      <c r="G30" s="315">
        <f t="shared" si="0"/>
        <v>23</v>
      </c>
      <c r="H30" s="316">
        <f>G30/G31</f>
        <v>0.0006527785661576886</v>
      </c>
    </row>
    <row r="31" spans="1:8" ht="13.5" thickBot="1">
      <c r="A31" s="500"/>
      <c r="B31" s="501" t="s">
        <v>26</v>
      </c>
      <c r="C31" s="218">
        <f aca="true" t="shared" si="1" ref="C31:H31">SUM(C8:C30)</f>
        <v>103</v>
      </c>
      <c r="D31" s="317">
        <f t="shared" si="1"/>
        <v>4121</v>
      </c>
      <c r="E31" s="317">
        <f t="shared" si="1"/>
        <v>3464</v>
      </c>
      <c r="F31" s="317">
        <f>SUM(F8:F30)</f>
        <v>27546</v>
      </c>
      <c r="G31" s="318">
        <f>SUM(G8:G30)</f>
        <v>35234</v>
      </c>
      <c r="H31" s="319">
        <f t="shared" si="1"/>
        <v>0.9999999999999999</v>
      </c>
    </row>
    <row r="32" spans="1:8" ht="12.75">
      <c r="A32" s="320"/>
      <c r="B32" s="321"/>
      <c r="C32" s="322"/>
      <c r="D32" s="322"/>
      <c r="E32" s="322"/>
      <c r="F32" s="322"/>
      <c r="G32" s="322"/>
      <c r="H32" s="43"/>
    </row>
    <row r="33" spans="1:8" ht="12.75">
      <c r="A33" s="647" t="s">
        <v>99</v>
      </c>
      <c r="B33" s="647"/>
      <c r="C33" s="323"/>
      <c r="D33" s="323"/>
      <c r="E33" s="41"/>
      <c r="F33" s="199" t="s">
        <v>34</v>
      </c>
      <c r="G33" s="41"/>
      <c r="H33" s="43"/>
    </row>
    <row r="34" spans="1:8" ht="12.75">
      <c r="A34" s="646">
        <v>41404</v>
      </c>
      <c r="B34" s="646"/>
      <c r="C34" s="323"/>
      <c r="D34" s="323"/>
      <c r="E34" s="41"/>
      <c r="F34" s="199" t="s">
        <v>35</v>
      </c>
      <c r="G34" s="41"/>
      <c r="H34" s="43"/>
    </row>
  </sheetData>
  <sheetProtection/>
  <mergeCells count="8">
    <mergeCell ref="A34:B34"/>
    <mergeCell ref="A33:B33"/>
    <mergeCell ref="B3:H4"/>
    <mergeCell ref="C5:F5"/>
    <mergeCell ref="G5:G7"/>
    <mergeCell ref="H5:H7"/>
    <mergeCell ref="C6:D6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mchrysostomou</cp:lastModifiedBy>
  <cp:lastPrinted>2014-02-24T11:36:09Z</cp:lastPrinted>
  <dcterms:created xsi:type="dcterms:W3CDTF">1999-12-20T10:51:55Z</dcterms:created>
  <dcterms:modified xsi:type="dcterms:W3CDTF">2014-02-24T11:38:11Z</dcterms:modified>
  <cp:category/>
  <cp:version/>
  <cp:contentType/>
  <cp:contentStatus/>
</cp:coreProperties>
</file>