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135" firstSheet="4" activeTab="5"/>
  </bookViews>
  <sheets>
    <sheet name="κατά επαρχία και φύλο το 2015" sheetId="1" r:id="rId1"/>
    <sheet name="κατά επαρχία,  μήνα 2014,2015" sheetId="8" r:id="rId2"/>
    <sheet name="κατά φύλο, μήνα 2014,2015" sheetId="4" r:id="rId3"/>
    <sheet name="άνεργοι κατά μήνα 2007-2015" sheetId="6" r:id="rId4"/>
    <sheet name="δικ κατά μήν και κοιν 2014-2015" sheetId="10" r:id="rId5"/>
    <sheet name="δικ, ποσό πληρ. κατά μήνα 11-15" sheetId="5" r:id="rId6"/>
    <sheet name="άνεργοι κατά οικ. δραστ.1.2015" sheetId="11" r:id="rId7"/>
    <sheet name="άνεργοι κατά οικ. δραστ. 2.2015" sheetId="12" r:id="rId8"/>
    <sheet name="άνεργοι κατά οικ. δρστ. 3.2015" sheetId="13" r:id="rId9"/>
    <sheet name="άνεργοι κατά οικ. δραστ. 4.2015" sheetId="14" r:id="rId10"/>
    <sheet name="άνεργοι κατά οικ. δραστ. 5.2015" sheetId="15" r:id="rId11"/>
    <sheet name="άνεργοι κατά οικ. δρ. 6.2015" sheetId="16" r:id="rId12"/>
    <sheet name="άνεργοι κατά οικ. δρ. 7.2015" sheetId="17" r:id="rId13"/>
    <sheet name="άνεργοι κατά οικ. δρ. 8.15" sheetId="18" r:id="rId14"/>
    <sheet name="ανεργοι κατά οικ. δρ.9.15" sheetId="19" r:id="rId15"/>
    <sheet name="ανεργοι κατά οικ. δρ.10.15" sheetId="20" r:id="rId16"/>
    <sheet name="ανεργοι κατά οικ. δρ.11.15" sheetId="21" r:id="rId17"/>
    <sheet name="ανεργοι κατά οικ. δρ.12.15" sheetId="22" r:id="rId18"/>
  </sheets>
  <definedNames>
    <definedName name="_xlnm._FilterDatabase" localSheetId="5" hidden="1">'δικ, ποσό πληρ. κατά μήνα 11-15'!$J$23:$L$23</definedName>
  </definedNames>
  <calcPr calcId="145621"/>
</workbook>
</file>

<file path=xl/calcChain.xml><?xml version="1.0" encoding="utf-8"?>
<calcChain xmlns="http://schemas.openxmlformats.org/spreadsheetml/2006/main">
  <c r="Z20" i="10" l="1"/>
  <c r="AA20" i="10"/>
  <c r="AB20" i="10"/>
  <c r="Y20" i="10"/>
  <c r="T20" i="10"/>
  <c r="U20" i="10"/>
  <c r="V20" i="10"/>
  <c r="W20" i="10"/>
  <c r="S20" i="10"/>
  <c r="T19" i="10"/>
  <c r="U19" i="10"/>
  <c r="V19" i="10"/>
  <c r="W19" i="10"/>
  <c r="S19" i="10"/>
  <c r="W12" i="10"/>
  <c r="T12" i="10"/>
  <c r="U12" i="10"/>
  <c r="V12" i="10"/>
  <c r="S12" i="10"/>
  <c r="Z19" i="10" l="1"/>
  <c r="AA19" i="10"/>
  <c r="AB19" i="10"/>
  <c r="Y19" i="10"/>
  <c r="AC18" i="10"/>
  <c r="AC15" i="10"/>
  <c r="AC16" i="10"/>
  <c r="AC17" i="10"/>
  <c r="AC14" i="10"/>
  <c r="AD18" i="10" l="1"/>
  <c r="AD20" i="5" s="1"/>
  <c r="AB20" i="5"/>
  <c r="AD17" i="10"/>
  <c r="AD19" i="5" s="1"/>
  <c r="F28" i="22"/>
  <c r="F23" i="22"/>
  <c r="F21" i="22"/>
  <c r="F15" i="22"/>
  <c r="F14" i="22"/>
  <c r="F13" i="22"/>
  <c r="F12" i="22"/>
  <c r="F9" i="22"/>
  <c r="L20" i="8"/>
  <c r="K20" i="8"/>
  <c r="J20" i="8"/>
  <c r="I20" i="8"/>
  <c r="H20" i="8"/>
  <c r="C22" i="1"/>
  <c r="D22" i="1"/>
  <c r="E22" i="1"/>
  <c r="F22" i="1"/>
  <c r="I22" i="1"/>
  <c r="J22" i="1"/>
  <c r="L22" i="1"/>
  <c r="M22" i="1"/>
  <c r="Q22" i="1"/>
  <c r="B22" i="1"/>
  <c r="N20" i="1"/>
  <c r="I21" i="4" s="1"/>
  <c r="G20" i="1"/>
  <c r="G21" i="4" s="1"/>
  <c r="K21" i="4" s="1"/>
  <c r="F28" i="21"/>
  <c r="F23" i="21"/>
  <c r="F22" i="21"/>
  <c r="F21" i="21"/>
  <c r="F15" i="21"/>
  <c r="F14" i="21"/>
  <c r="F13" i="21"/>
  <c r="F12" i="21"/>
  <c r="F9" i="21"/>
  <c r="L19" i="8"/>
  <c r="K19" i="8"/>
  <c r="J19" i="8"/>
  <c r="I19" i="8"/>
  <c r="H19" i="8"/>
  <c r="N19" i="1"/>
  <c r="G19" i="1"/>
  <c r="M19" i="8" s="1"/>
  <c r="F28" i="20"/>
  <c r="F24" i="20"/>
  <c r="F23" i="20"/>
  <c r="F22" i="20"/>
  <c r="F21" i="20"/>
  <c r="F15" i="20"/>
  <c r="F13" i="20"/>
  <c r="F12" i="20"/>
  <c r="F9" i="20"/>
  <c r="J21" i="4" l="1"/>
  <c r="V18" i="6"/>
  <c r="W18" i="6" s="1"/>
  <c r="P19" i="1"/>
  <c r="G20" i="4"/>
  <c r="I20" i="4"/>
  <c r="M20" i="8"/>
  <c r="P20" i="1"/>
  <c r="AB19" i="5"/>
  <c r="H21" i="4"/>
  <c r="R20" i="1"/>
  <c r="H20" i="1"/>
  <c r="O20" i="1"/>
  <c r="R19" i="1"/>
  <c r="H19" i="1"/>
  <c r="O19" i="1"/>
  <c r="AD16" i="10"/>
  <c r="AD18" i="5" s="1"/>
  <c r="G28" i="20"/>
  <c r="L18" i="8"/>
  <c r="K18" i="8"/>
  <c r="J18" i="8"/>
  <c r="I18" i="8"/>
  <c r="H18" i="8"/>
  <c r="N18" i="1"/>
  <c r="G18" i="1"/>
  <c r="G19" i="4" s="1"/>
  <c r="F28" i="19"/>
  <c r="F24" i="19"/>
  <c r="F22" i="19"/>
  <c r="F21" i="19"/>
  <c r="F19" i="19"/>
  <c r="F17" i="19"/>
  <c r="F15" i="19"/>
  <c r="F13" i="19"/>
  <c r="F12" i="19"/>
  <c r="F9" i="19"/>
  <c r="M18" i="8" l="1"/>
  <c r="K19" i="4"/>
  <c r="P18" i="1"/>
  <c r="I19" i="4"/>
  <c r="K20" i="4"/>
  <c r="AB18" i="5"/>
  <c r="AD15" i="10"/>
  <c r="AD17" i="5" s="1"/>
  <c r="AD14" i="10"/>
  <c r="AD16" i="5" s="1"/>
  <c r="L17" i="8"/>
  <c r="K17" i="8"/>
  <c r="I17" i="8"/>
  <c r="H17" i="8"/>
  <c r="K17" i="1"/>
  <c r="K22" i="1" s="1"/>
  <c r="G17" i="1"/>
  <c r="G18" i="4" s="1"/>
  <c r="AC13" i="10"/>
  <c r="F29" i="18"/>
  <c r="F25" i="18"/>
  <c r="F23" i="18"/>
  <c r="F22" i="18"/>
  <c r="F18" i="18"/>
  <c r="F16" i="18"/>
  <c r="F14" i="18"/>
  <c r="F13" i="18"/>
  <c r="L16" i="8"/>
  <c r="K16" i="8"/>
  <c r="J16" i="8"/>
  <c r="I16" i="8"/>
  <c r="H16" i="8"/>
  <c r="N16" i="1"/>
  <c r="I17" i="4" s="1"/>
  <c r="G16" i="1"/>
  <c r="Z12" i="10"/>
  <c r="AA12" i="10"/>
  <c r="AB12" i="10"/>
  <c r="Y12" i="10"/>
  <c r="M16" i="8" l="1"/>
  <c r="P16" i="1"/>
  <c r="O18" i="1"/>
  <c r="R18" i="1"/>
  <c r="H18" i="1"/>
  <c r="N17" i="1"/>
  <c r="P17" i="1" s="1"/>
  <c r="J20" i="4"/>
  <c r="V17" i="6"/>
  <c r="W17" i="6" s="1"/>
  <c r="H20" i="4"/>
  <c r="J19" i="4"/>
  <c r="V16" i="6"/>
  <c r="W16" i="6" s="1"/>
  <c r="G17" i="4"/>
  <c r="K17" i="4" s="1"/>
  <c r="H16" i="1"/>
  <c r="AB15" i="5"/>
  <c r="AC19" i="10"/>
  <c r="AD19" i="10" s="1"/>
  <c r="J17" i="8"/>
  <c r="H19" i="4"/>
  <c r="AB17" i="5"/>
  <c r="AB16" i="5"/>
  <c r="AD13" i="10"/>
  <c r="AD15" i="5" s="1"/>
  <c r="AC11" i="10"/>
  <c r="F28" i="17"/>
  <c r="F24" i="17"/>
  <c r="F22" i="17"/>
  <c r="F21" i="17"/>
  <c r="F17" i="17"/>
  <c r="F15" i="17"/>
  <c r="F13" i="17"/>
  <c r="F12" i="17"/>
  <c r="E30" i="17"/>
  <c r="J15" i="8"/>
  <c r="J22" i="8" s="1"/>
  <c r="K15" i="8"/>
  <c r="K22" i="8" s="1"/>
  <c r="L15" i="8"/>
  <c r="L22" i="8" s="1"/>
  <c r="H15" i="8"/>
  <c r="H22" i="8" s="1"/>
  <c r="I15" i="8"/>
  <c r="I22" i="8" s="1"/>
  <c r="N15" i="1"/>
  <c r="N22" i="1" s="1"/>
  <c r="G15" i="1"/>
  <c r="G22" i="1" s="1"/>
  <c r="AC14" i="5"/>
  <c r="H17" i="4" l="1"/>
  <c r="I16" i="4"/>
  <c r="I23" i="4" s="1"/>
  <c r="AB21" i="5"/>
  <c r="M17" i="8"/>
  <c r="I18" i="4"/>
  <c r="K18" i="4" s="1"/>
  <c r="O16" i="1"/>
  <c r="R16" i="1"/>
  <c r="J17" i="4"/>
  <c r="V14" i="6"/>
  <c r="W14" i="6" s="1"/>
  <c r="O17" i="1"/>
  <c r="R17" i="1"/>
  <c r="H17" i="1"/>
  <c r="P15" i="1"/>
  <c r="M15" i="8"/>
  <c r="M22" i="8" s="1"/>
  <c r="G16" i="4"/>
  <c r="AD11" i="10"/>
  <c r="AD13" i="5" s="1"/>
  <c r="AB13" i="5"/>
  <c r="AC10" i="10"/>
  <c r="AD10" i="10" s="1"/>
  <c r="AD12" i="5" s="1"/>
  <c r="V21" i="5"/>
  <c r="G23" i="4" l="1"/>
  <c r="K16" i="4"/>
  <c r="O15" i="1"/>
  <c r="P22" i="1"/>
  <c r="H15" i="1"/>
  <c r="R15" i="1"/>
  <c r="J18" i="4"/>
  <c r="V15" i="6"/>
  <c r="W15" i="6" s="1"/>
  <c r="H18" i="4"/>
  <c r="AB12" i="5"/>
  <c r="F28" i="16"/>
  <c r="F17" i="16"/>
  <c r="F15" i="16"/>
  <c r="F13" i="16"/>
  <c r="F12" i="16"/>
  <c r="F9" i="16"/>
  <c r="L12" i="8"/>
  <c r="K12" i="8"/>
  <c r="I12" i="8"/>
  <c r="H12" i="8"/>
  <c r="K12" i="1"/>
  <c r="N12" i="1" s="1"/>
  <c r="I13" i="4" s="1"/>
  <c r="G12" i="1"/>
  <c r="G13" i="4" s="1"/>
  <c r="K13" i="4" s="1"/>
  <c r="AC9" i="10"/>
  <c r="AD9" i="10" s="1"/>
  <c r="AD11" i="5" s="1"/>
  <c r="F29" i="15"/>
  <c r="F24" i="15"/>
  <c r="F16" i="15"/>
  <c r="F14" i="15"/>
  <c r="F13" i="15"/>
  <c r="F10" i="15"/>
  <c r="D31" i="15"/>
  <c r="L11" i="8"/>
  <c r="K11" i="8"/>
  <c r="I11" i="8"/>
  <c r="H11" i="8"/>
  <c r="N11" i="1"/>
  <c r="D11" i="1"/>
  <c r="J11" i="8" s="1"/>
  <c r="F29" i="14"/>
  <c r="F24" i="14"/>
  <c r="F21" i="14"/>
  <c r="F16" i="14"/>
  <c r="F14" i="14"/>
  <c r="F13" i="14"/>
  <c r="F10" i="14"/>
  <c r="G10" i="14" s="1"/>
  <c r="D31" i="14"/>
  <c r="C31" i="14"/>
  <c r="G8" i="14"/>
  <c r="AC8" i="10"/>
  <c r="AB10" i="5" s="1"/>
  <c r="AC7" i="10"/>
  <c r="AD7" i="10" s="1"/>
  <c r="AD9" i="5" s="1"/>
  <c r="L10" i="8"/>
  <c r="K10" i="8"/>
  <c r="J10" i="8"/>
  <c r="I10" i="8"/>
  <c r="H10" i="8"/>
  <c r="N10" i="1"/>
  <c r="I11" i="4" s="1"/>
  <c r="G10" i="1"/>
  <c r="G11" i="4" s="1"/>
  <c r="G11" i="1" l="1"/>
  <c r="G12" i="4" s="1"/>
  <c r="P11" i="1"/>
  <c r="R11" i="1" s="1"/>
  <c r="J13" i="4"/>
  <c r="V11" i="6"/>
  <c r="W11" i="6" s="1"/>
  <c r="K11" i="4"/>
  <c r="V9" i="6" s="1"/>
  <c r="W9" i="6" s="1"/>
  <c r="I12" i="4"/>
  <c r="K12" i="4" s="1"/>
  <c r="P12" i="1"/>
  <c r="J12" i="8"/>
  <c r="M12" i="8" s="1"/>
  <c r="J16" i="4"/>
  <c r="K23" i="4"/>
  <c r="J23" i="4" s="1"/>
  <c r="V13" i="6"/>
  <c r="H16" i="4"/>
  <c r="M11" i="8"/>
  <c r="R22" i="1"/>
  <c r="H22" i="1"/>
  <c r="O22" i="1"/>
  <c r="H23" i="4"/>
  <c r="M10" i="8"/>
  <c r="AB11" i="5"/>
  <c r="H13" i="4"/>
  <c r="AD8" i="10"/>
  <c r="AD10" i="5" s="1"/>
  <c r="AB9" i="5"/>
  <c r="H11" i="1"/>
  <c r="O11" i="1"/>
  <c r="J11" i="4"/>
  <c r="P10" i="1"/>
  <c r="O10" i="1" s="1"/>
  <c r="H11" i="4"/>
  <c r="AC6" i="10"/>
  <c r="AC20" i="10" s="1"/>
  <c r="AD20" i="10" s="1"/>
  <c r="Y20" i="5"/>
  <c r="AA20" i="5" s="1"/>
  <c r="J12" i="4" l="1"/>
  <c r="V10" i="6"/>
  <c r="W10" i="6" s="1"/>
  <c r="H12" i="4"/>
  <c r="V19" i="6"/>
  <c r="W13" i="6"/>
  <c r="O12" i="1"/>
  <c r="H12" i="1"/>
  <c r="R12" i="1"/>
  <c r="AB8" i="5"/>
  <c r="AB22" i="5" s="1"/>
  <c r="AC12" i="10"/>
  <c r="H10" i="1"/>
  <c r="R10" i="1"/>
  <c r="AD6" i="10"/>
  <c r="AD8" i="5" s="1"/>
  <c r="F28" i="13"/>
  <c r="F15" i="13"/>
  <c r="L9" i="8"/>
  <c r="K9" i="8"/>
  <c r="J9" i="8"/>
  <c r="I9" i="8"/>
  <c r="H9" i="8"/>
  <c r="N9" i="1"/>
  <c r="I10" i="4" s="1"/>
  <c r="G9" i="1"/>
  <c r="G10" i="4" s="1"/>
  <c r="F28" i="12"/>
  <c r="F24" i="12"/>
  <c r="F20" i="12"/>
  <c r="F19" i="12"/>
  <c r="F15" i="12"/>
  <c r="F14" i="12"/>
  <c r="F13" i="12"/>
  <c r="F9" i="12"/>
  <c r="L8" i="8"/>
  <c r="K8" i="8"/>
  <c r="J8" i="8"/>
  <c r="I8" i="8"/>
  <c r="H8" i="8"/>
  <c r="N8" i="1"/>
  <c r="G8" i="1"/>
  <c r="T20" i="6"/>
  <c r="U20" i="6"/>
  <c r="E24" i="1"/>
  <c r="AB14" i="5" l="1"/>
  <c r="AD12" i="10"/>
  <c r="AD14" i="5" s="1"/>
  <c r="K10" i="4"/>
  <c r="H10" i="4" s="1"/>
  <c r="G9" i="4"/>
  <c r="I9" i="4"/>
  <c r="P8" i="1"/>
  <c r="R8" i="1" s="1"/>
  <c r="M8" i="8"/>
  <c r="P9" i="1"/>
  <c r="R9" i="1" s="1"/>
  <c r="M9" i="8"/>
  <c r="F28" i="11"/>
  <c r="F24" i="11"/>
  <c r="F20" i="11"/>
  <c r="F15" i="11"/>
  <c r="F14" i="11"/>
  <c r="F13" i="11"/>
  <c r="AC21" i="5"/>
  <c r="U19" i="6"/>
  <c r="W19" i="6" s="1"/>
  <c r="U12" i="6"/>
  <c r="J10" i="4" l="1"/>
  <c r="V8" i="6"/>
  <c r="W8" i="6" s="1"/>
  <c r="H9" i="1"/>
  <c r="H8" i="1"/>
  <c r="K9" i="4"/>
  <c r="O9" i="1"/>
  <c r="O8" i="1"/>
  <c r="AC22" i="5"/>
  <c r="J9" i="4" l="1"/>
  <c r="V7" i="6"/>
  <c r="W7" i="6" s="1"/>
  <c r="H9" i="4"/>
  <c r="G26" i="21"/>
  <c r="G27" i="21"/>
  <c r="G28" i="21"/>
  <c r="D30" i="20"/>
  <c r="G9" i="19" l="1"/>
  <c r="C31" i="18" l="1"/>
  <c r="G9" i="14" l="1"/>
  <c r="G11" i="14"/>
  <c r="G12" i="14"/>
  <c r="G18" i="14"/>
  <c r="G19" i="14"/>
  <c r="G20" i="14"/>
  <c r="G22" i="14"/>
  <c r="G23" i="14"/>
  <c r="G24" i="14"/>
  <c r="G25" i="14"/>
  <c r="G26" i="14"/>
  <c r="G27" i="14"/>
  <c r="G28" i="14"/>
  <c r="G30" i="14"/>
  <c r="G29" i="14"/>
  <c r="G21" i="14"/>
  <c r="G17" i="14"/>
  <c r="G16" i="14"/>
  <c r="G15" i="14"/>
  <c r="G14" i="14"/>
  <c r="G13" i="14"/>
  <c r="G31" i="14" l="1"/>
  <c r="F24" i="8"/>
  <c r="E24" i="8"/>
  <c r="D24" i="8"/>
  <c r="C24" i="8"/>
  <c r="B24" i="8"/>
  <c r="Q24" i="1"/>
  <c r="M24" i="1"/>
  <c r="L24" i="1"/>
  <c r="K24" i="1"/>
  <c r="J24" i="1"/>
  <c r="I24" i="1"/>
  <c r="F24" i="1"/>
  <c r="D24" i="1"/>
  <c r="C24" i="1"/>
  <c r="B24" i="1"/>
  <c r="H7" i="8"/>
  <c r="H14" i="8" s="1"/>
  <c r="I7" i="8"/>
  <c r="J7" i="8"/>
  <c r="K7" i="8"/>
  <c r="L7" i="8"/>
  <c r="G20" i="8"/>
  <c r="N20" i="8" s="1"/>
  <c r="F8" i="4"/>
  <c r="E8" i="4" s="1"/>
  <c r="F9" i="4"/>
  <c r="F10" i="4"/>
  <c r="E10" i="4" s="1"/>
  <c r="F11" i="4"/>
  <c r="C11" i="4" s="1"/>
  <c r="F12" i="4"/>
  <c r="E12" i="4" s="1"/>
  <c r="F13" i="4"/>
  <c r="C9" i="4"/>
  <c r="C13" i="4"/>
  <c r="B15" i="4"/>
  <c r="D15" i="4"/>
  <c r="F16" i="4"/>
  <c r="C16" i="4" s="1"/>
  <c r="F17" i="4"/>
  <c r="E17" i="4" s="1"/>
  <c r="F18" i="4"/>
  <c r="C18" i="4" s="1"/>
  <c r="F19" i="4"/>
  <c r="E19" i="4" s="1"/>
  <c r="F20" i="4"/>
  <c r="C20" i="4" s="1"/>
  <c r="F21" i="4"/>
  <c r="E21" i="4" s="1"/>
  <c r="B23" i="4"/>
  <c r="D23" i="4"/>
  <c r="D25" i="4" s="1"/>
  <c r="Y19" i="5"/>
  <c r="AA19" i="5" s="1"/>
  <c r="Z21" i="5"/>
  <c r="Z14" i="5"/>
  <c r="P14" i="5"/>
  <c r="Q14" i="5"/>
  <c r="P21" i="5"/>
  <c r="Q21" i="5"/>
  <c r="P22" i="5"/>
  <c r="E30" i="22"/>
  <c r="D30" i="22"/>
  <c r="C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F30" i="22"/>
  <c r="G8" i="22"/>
  <c r="G7" i="22"/>
  <c r="W14" i="5"/>
  <c r="Y18" i="5"/>
  <c r="Y17" i="5"/>
  <c r="Y16" i="5"/>
  <c r="G17" i="21"/>
  <c r="E30" i="21"/>
  <c r="D30" i="21"/>
  <c r="C30" i="21"/>
  <c r="G29" i="21"/>
  <c r="G25" i="21"/>
  <c r="G24" i="21"/>
  <c r="G23" i="21"/>
  <c r="G22" i="21"/>
  <c r="G21" i="21"/>
  <c r="G20" i="21"/>
  <c r="G19" i="21"/>
  <c r="G18" i="21"/>
  <c r="G16" i="21"/>
  <c r="G15" i="21"/>
  <c r="G14" i="21"/>
  <c r="G13" i="21"/>
  <c r="G12" i="21"/>
  <c r="G11" i="21"/>
  <c r="G10" i="21"/>
  <c r="F30" i="21"/>
  <c r="G8" i="21"/>
  <c r="G7" i="21"/>
  <c r="A29" i="8"/>
  <c r="A29" i="4" s="1"/>
  <c r="A25" i="6" s="1"/>
  <c r="A28" i="10" s="1"/>
  <c r="A31" i="5" s="1"/>
  <c r="W21" i="5"/>
  <c r="F30" i="20"/>
  <c r="E30" i="20"/>
  <c r="C30" i="20"/>
  <c r="G29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F30" i="19"/>
  <c r="E30" i="19"/>
  <c r="D30" i="19"/>
  <c r="C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" i="19"/>
  <c r="G7" i="19"/>
  <c r="Y15" i="5"/>
  <c r="Y21" i="5" s="1"/>
  <c r="F31" i="18"/>
  <c r="E31" i="18"/>
  <c r="D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Y13" i="5"/>
  <c r="Y12" i="5"/>
  <c r="Y11" i="5"/>
  <c r="F30" i="17"/>
  <c r="D30" i="17"/>
  <c r="C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15" i="8"/>
  <c r="N15" i="8" s="1"/>
  <c r="G16" i="8"/>
  <c r="N16" i="8" s="1"/>
  <c r="G17" i="8"/>
  <c r="N17" i="8" s="1"/>
  <c r="G18" i="8"/>
  <c r="N18" i="8" s="1"/>
  <c r="G19" i="8"/>
  <c r="N19" i="8" s="1"/>
  <c r="B22" i="8"/>
  <c r="C22" i="8"/>
  <c r="D22" i="8"/>
  <c r="E22" i="8"/>
  <c r="F22" i="8"/>
  <c r="F30" i="16"/>
  <c r="E30" i="16"/>
  <c r="D30" i="16"/>
  <c r="C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T12" i="6"/>
  <c r="G30" i="15"/>
  <c r="F31" i="15"/>
  <c r="C31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E31" i="15"/>
  <c r="G15" i="15"/>
  <c r="G14" i="15"/>
  <c r="G13" i="15"/>
  <c r="G12" i="15"/>
  <c r="G11" i="15"/>
  <c r="G10" i="15"/>
  <c r="G9" i="15"/>
  <c r="G8" i="15"/>
  <c r="Y10" i="5"/>
  <c r="Y9" i="5"/>
  <c r="Y8" i="5"/>
  <c r="U20" i="5"/>
  <c r="S22" i="5"/>
  <c r="S21" i="5"/>
  <c r="O19" i="10"/>
  <c r="M20" i="10"/>
  <c r="P20" i="10"/>
  <c r="O20" i="10"/>
  <c r="N20" i="10"/>
  <c r="P19" i="10"/>
  <c r="N19" i="10"/>
  <c r="M19" i="10"/>
  <c r="Q6" i="10"/>
  <c r="F31" i="14"/>
  <c r="F30" i="13"/>
  <c r="D30" i="13"/>
  <c r="C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E30" i="13"/>
  <c r="G14" i="13"/>
  <c r="G13" i="13"/>
  <c r="G12" i="13"/>
  <c r="G11" i="13"/>
  <c r="G10" i="13"/>
  <c r="G9" i="13"/>
  <c r="G8" i="13"/>
  <c r="G7" i="13"/>
  <c r="F30" i="12"/>
  <c r="C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E30" i="12"/>
  <c r="D30" i="12"/>
  <c r="G14" i="12"/>
  <c r="G13" i="12"/>
  <c r="G12" i="12"/>
  <c r="G11" i="12"/>
  <c r="G10" i="12"/>
  <c r="G9" i="12"/>
  <c r="G8" i="12"/>
  <c r="G7" i="12"/>
  <c r="G12" i="8"/>
  <c r="N12" i="8" s="1"/>
  <c r="G11" i="8"/>
  <c r="N11" i="8" s="1"/>
  <c r="G10" i="8"/>
  <c r="N10" i="8" s="1"/>
  <c r="G9" i="8"/>
  <c r="N9" i="8" s="1"/>
  <c r="G8" i="8"/>
  <c r="N8" i="8" s="1"/>
  <c r="G7" i="8"/>
  <c r="B14" i="8"/>
  <c r="C14" i="8"/>
  <c r="D14" i="8"/>
  <c r="E14" i="8"/>
  <c r="F14" i="8"/>
  <c r="U19" i="5"/>
  <c r="U18" i="5"/>
  <c r="U17" i="5"/>
  <c r="U16" i="5"/>
  <c r="U15" i="5"/>
  <c r="Q16" i="10"/>
  <c r="Q15" i="10"/>
  <c r="Q14" i="10"/>
  <c r="Q13" i="10"/>
  <c r="F30" i="11"/>
  <c r="E30" i="11"/>
  <c r="D30" i="11"/>
  <c r="C30" i="11"/>
  <c r="S20" i="6"/>
  <c r="S19" i="6"/>
  <c r="K11" i="10"/>
  <c r="U13" i="5"/>
  <c r="U12" i="5"/>
  <c r="P12" i="10"/>
  <c r="O12" i="10"/>
  <c r="N12" i="10"/>
  <c r="M12" i="10"/>
  <c r="Q11" i="10"/>
  <c r="Q10" i="10"/>
  <c r="S14" i="5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S12" i="6"/>
  <c r="U11" i="5"/>
  <c r="U10" i="5"/>
  <c r="Q9" i="10"/>
  <c r="Q8" i="10"/>
  <c r="Q7" i="10"/>
  <c r="U9" i="5"/>
  <c r="U8" i="5"/>
  <c r="R20" i="5"/>
  <c r="R19" i="5"/>
  <c r="R18" i="5"/>
  <c r="T21" i="5"/>
  <c r="T14" i="5"/>
  <c r="C20" i="6"/>
  <c r="B20" i="6"/>
  <c r="C19" i="6"/>
  <c r="B19" i="6"/>
  <c r="C12" i="6"/>
  <c r="B12" i="6"/>
  <c r="L20" i="6"/>
  <c r="K20" i="6"/>
  <c r="J20" i="6"/>
  <c r="I20" i="6"/>
  <c r="E20" i="6"/>
  <c r="D20" i="6"/>
  <c r="L19" i="6"/>
  <c r="K19" i="6"/>
  <c r="J19" i="6"/>
  <c r="I19" i="6"/>
  <c r="E19" i="6"/>
  <c r="D19" i="6"/>
  <c r="L12" i="6"/>
  <c r="K12" i="6"/>
  <c r="J12" i="6"/>
  <c r="I12" i="6"/>
  <c r="F12" i="6"/>
  <c r="E12" i="6"/>
  <c r="D12" i="6"/>
  <c r="R17" i="5"/>
  <c r="R16" i="5"/>
  <c r="R15" i="5"/>
  <c r="B18" i="10"/>
  <c r="B17" i="10"/>
  <c r="F17" i="10" s="1"/>
  <c r="B16" i="10"/>
  <c r="B15" i="10"/>
  <c r="B14" i="10"/>
  <c r="B13" i="10"/>
  <c r="F13" i="10" s="1"/>
  <c r="B11" i="10"/>
  <c r="F11" i="10" s="1"/>
  <c r="L11" i="10" s="1"/>
  <c r="B10" i="10"/>
  <c r="B9" i="10"/>
  <c r="B8" i="10"/>
  <c r="B7" i="10"/>
  <c r="B6" i="10"/>
  <c r="F6" i="10" s="1"/>
  <c r="R19" i="6"/>
  <c r="R20" i="6"/>
  <c r="H14" i="5"/>
  <c r="F14" i="5"/>
  <c r="D14" i="5"/>
  <c r="B14" i="5"/>
  <c r="E21" i="5"/>
  <c r="D21" i="5"/>
  <c r="E14" i="5"/>
  <c r="M22" i="5"/>
  <c r="M21" i="5"/>
  <c r="M14" i="5"/>
  <c r="J14" i="5"/>
  <c r="Q20" i="6"/>
  <c r="P20" i="6"/>
  <c r="O20" i="6"/>
  <c r="N20" i="6"/>
  <c r="M20" i="6"/>
  <c r="M19" i="6"/>
  <c r="Q19" i="6"/>
  <c r="P19" i="6"/>
  <c r="O19" i="6"/>
  <c r="N19" i="6"/>
  <c r="R12" i="6"/>
  <c r="Q12" i="6"/>
  <c r="P12" i="6"/>
  <c r="O12" i="6"/>
  <c r="N12" i="6"/>
  <c r="M12" i="6"/>
  <c r="F8" i="10"/>
  <c r="J12" i="10"/>
  <c r="I12" i="10"/>
  <c r="H12" i="10"/>
  <c r="G12" i="10"/>
  <c r="F18" i="10"/>
  <c r="F16" i="10"/>
  <c r="F15" i="10"/>
  <c r="F14" i="10"/>
  <c r="K18" i="10"/>
  <c r="L18" i="10" s="1"/>
  <c r="K17" i="10"/>
  <c r="K16" i="10"/>
  <c r="R16" i="10" s="1"/>
  <c r="K15" i="10"/>
  <c r="R15" i="10" s="1"/>
  <c r="K14" i="10"/>
  <c r="R14" i="10" s="1"/>
  <c r="K13" i="10"/>
  <c r="R13" i="10" s="1"/>
  <c r="F10" i="10"/>
  <c r="F9" i="10"/>
  <c r="F7" i="10"/>
  <c r="K10" i="10"/>
  <c r="K9" i="10"/>
  <c r="K8" i="10"/>
  <c r="L8" i="10" s="1"/>
  <c r="K7" i="10"/>
  <c r="R7" i="10" s="1"/>
  <c r="K6" i="10"/>
  <c r="R6" i="10" s="1"/>
  <c r="J20" i="10"/>
  <c r="I20" i="10"/>
  <c r="H20" i="10"/>
  <c r="G20" i="10"/>
  <c r="J19" i="10"/>
  <c r="I19" i="10"/>
  <c r="H19" i="10"/>
  <c r="G19" i="10"/>
  <c r="E20" i="10"/>
  <c r="D20" i="10"/>
  <c r="C20" i="10"/>
  <c r="E19" i="10"/>
  <c r="D19" i="10"/>
  <c r="C19" i="10"/>
  <c r="E12" i="10"/>
  <c r="D12" i="10"/>
  <c r="C12" i="10"/>
  <c r="R13" i="5"/>
  <c r="R12" i="5"/>
  <c r="R11" i="5"/>
  <c r="R10" i="5"/>
  <c r="R9" i="5"/>
  <c r="R8" i="5"/>
  <c r="L8" i="5"/>
  <c r="L9" i="5"/>
  <c r="L10" i="5"/>
  <c r="L11" i="5"/>
  <c r="L12" i="5"/>
  <c r="L13" i="5"/>
  <c r="L14" i="5"/>
  <c r="I14" i="5"/>
  <c r="I22" i="5" s="1"/>
  <c r="K14" i="5"/>
  <c r="L15" i="5"/>
  <c r="L16" i="5"/>
  <c r="L17" i="5"/>
  <c r="L18" i="5"/>
  <c r="L19" i="5"/>
  <c r="L20" i="5"/>
  <c r="H21" i="5"/>
  <c r="I21" i="5"/>
  <c r="J21" i="5"/>
  <c r="K21" i="5"/>
  <c r="H22" i="5"/>
  <c r="J22" i="5"/>
  <c r="O22" i="5" s="1"/>
  <c r="L14" i="8"/>
  <c r="K14" i="8"/>
  <c r="J14" i="8"/>
  <c r="I14" i="8"/>
  <c r="O20" i="5"/>
  <c r="O19" i="5"/>
  <c r="O21" i="5"/>
  <c r="O18" i="5"/>
  <c r="O17" i="5"/>
  <c r="O16" i="5"/>
  <c r="O15" i="5"/>
  <c r="Q14" i="1"/>
  <c r="M14" i="1"/>
  <c r="L14" i="1"/>
  <c r="K14" i="1"/>
  <c r="J14" i="1"/>
  <c r="I14" i="1"/>
  <c r="F14" i="1"/>
  <c r="E14" i="1"/>
  <c r="D14" i="1"/>
  <c r="C14" i="1"/>
  <c r="B14" i="1"/>
  <c r="O13" i="5"/>
  <c r="O12" i="5"/>
  <c r="N14" i="5"/>
  <c r="O11" i="5"/>
  <c r="O10" i="5"/>
  <c r="O9" i="5"/>
  <c r="N7" i="1"/>
  <c r="N24" i="1" s="1"/>
  <c r="O8" i="5"/>
  <c r="N21" i="5"/>
  <c r="C14" i="5"/>
  <c r="G14" i="5"/>
  <c r="B21" i="5"/>
  <c r="C21" i="5"/>
  <c r="F21" i="5"/>
  <c r="G21" i="5"/>
  <c r="G22" i="5" s="1"/>
  <c r="H6" i="6"/>
  <c r="G7" i="6"/>
  <c r="H8" i="6"/>
  <c r="G9" i="6"/>
  <c r="H9" i="6"/>
  <c r="H10" i="6"/>
  <c r="H11" i="6"/>
  <c r="G13" i="6"/>
  <c r="H13" i="6"/>
  <c r="H14" i="6"/>
  <c r="H15" i="6"/>
  <c r="G16" i="6"/>
  <c r="H16" i="6"/>
  <c r="F17" i="6"/>
  <c r="F18" i="6"/>
  <c r="H18" i="6"/>
  <c r="G7" i="1"/>
  <c r="G8" i="4" s="1"/>
  <c r="K12" i="10"/>
  <c r="L21" i="5"/>
  <c r="L22" i="5"/>
  <c r="Q12" i="10"/>
  <c r="R12" i="10" s="1"/>
  <c r="U14" i="5"/>
  <c r="Q17" i="10"/>
  <c r="R17" i="10" s="1"/>
  <c r="G15" i="12"/>
  <c r="Q18" i="10"/>
  <c r="E31" i="14"/>
  <c r="G16" i="15"/>
  <c r="G31" i="15" s="1"/>
  <c r="H10" i="15" s="1"/>
  <c r="G30" i="17"/>
  <c r="R9" i="10"/>
  <c r="G31" i="18"/>
  <c r="W22" i="5"/>
  <c r="G9" i="21"/>
  <c r="H30" i="14"/>
  <c r="Q19" i="10" l="1"/>
  <c r="L10" i="10"/>
  <c r="L16" i="10"/>
  <c r="D22" i="5"/>
  <c r="L17" i="10"/>
  <c r="L9" i="10"/>
  <c r="F19" i="10"/>
  <c r="O14" i="5"/>
  <c r="B19" i="10"/>
  <c r="K22" i="5"/>
  <c r="E22" i="5"/>
  <c r="AA21" i="5"/>
  <c r="AD21" i="5"/>
  <c r="F15" i="4"/>
  <c r="G30" i="22"/>
  <c r="H27" i="22" s="1"/>
  <c r="G30" i="21"/>
  <c r="H8" i="21" s="1"/>
  <c r="Y22" i="5"/>
  <c r="G30" i="13"/>
  <c r="H14" i="13" s="1"/>
  <c r="AA8" i="5"/>
  <c r="Y14" i="5"/>
  <c r="Q22" i="5"/>
  <c r="AA15" i="5"/>
  <c r="AA16" i="5"/>
  <c r="AA18" i="5"/>
  <c r="AA10" i="5"/>
  <c r="AA11" i="5"/>
  <c r="AA13" i="5"/>
  <c r="AA9" i="5"/>
  <c r="AA12" i="5"/>
  <c r="B25" i="4"/>
  <c r="G14" i="1"/>
  <c r="T19" i="6"/>
  <c r="G14" i="8"/>
  <c r="G24" i="8"/>
  <c r="H20" i="21"/>
  <c r="H22" i="21"/>
  <c r="H24" i="21"/>
  <c r="H26" i="21"/>
  <c r="H28" i="21"/>
  <c r="G30" i="20"/>
  <c r="H7" i="20" s="1"/>
  <c r="G30" i="19"/>
  <c r="H7" i="19" s="1"/>
  <c r="H8" i="18"/>
  <c r="H10" i="18"/>
  <c r="H12" i="18"/>
  <c r="H14" i="18"/>
  <c r="H16" i="18"/>
  <c r="H18" i="18"/>
  <c r="H20" i="18"/>
  <c r="H22" i="18"/>
  <c r="H24" i="18"/>
  <c r="H26" i="18"/>
  <c r="H28" i="18"/>
  <c r="H30" i="18"/>
  <c r="H9" i="18"/>
  <c r="H11" i="18"/>
  <c r="H13" i="18"/>
  <c r="H15" i="18"/>
  <c r="H17" i="18"/>
  <c r="H19" i="18"/>
  <c r="H21" i="18"/>
  <c r="H23" i="18"/>
  <c r="H25" i="18"/>
  <c r="H27" i="18"/>
  <c r="H29" i="18"/>
  <c r="H7" i="17"/>
  <c r="H9" i="17"/>
  <c r="H11" i="17"/>
  <c r="H13" i="17"/>
  <c r="H15" i="17"/>
  <c r="H17" i="17"/>
  <c r="H19" i="17"/>
  <c r="H21" i="17"/>
  <c r="H23" i="17"/>
  <c r="H25" i="17"/>
  <c r="H27" i="17"/>
  <c r="H29" i="17"/>
  <c r="H8" i="17"/>
  <c r="H10" i="17"/>
  <c r="H12" i="17"/>
  <c r="H14" i="17"/>
  <c r="H16" i="17"/>
  <c r="H18" i="17"/>
  <c r="H20" i="17"/>
  <c r="H22" i="17"/>
  <c r="H24" i="17"/>
  <c r="H26" i="17"/>
  <c r="H28" i="17"/>
  <c r="G30" i="16"/>
  <c r="H8" i="16" s="1"/>
  <c r="H21" i="15"/>
  <c r="H20" i="15"/>
  <c r="H28" i="15"/>
  <c r="H13" i="15"/>
  <c r="H29" i="15"/>
  <c r="H30" i="15"/>
  <c r="H14" i="15"/>
  <c r="H24" i="15"/>
  <c r="H9" i="15"/>
  <c r="H17" i="15"/>
  <c r="H25" i="15"/>
  <c r="H8" i="15"/>
  <c r="H18" i="15"/>
  <c r="H26" i="15"/>
  <c r="H12" i="15"/>
  <c r="H22" i="15"/>
  <c r="H11" i="15"/>
  <c r="H19" i="15"/>
  <c r="H16" i="15"/>
  <c r="H15" i="15"/>
  <c r="H23" i="15"/>
  <c r="H27" i="15"/>
  <c r="N22" i="5"/>
  <c r="T22" i="5"/>
  <c r="R14" i="5"/>
  <c r="H18" i="14"/>
  <c r="H10" i="14"/>
  <c r="H26" i="14"/>
  <c r="H13" i="14"/>
  <c r="H21" i="14"/>
  <c r="H29" i="14"/>
  <c r="H12" i="14"/>
  <c r="H20" i="14"/>
  <c r="H28" i="14"/>
  <c r="H15" i="14"/>
  <c r="H14" i="14"/>
  <c r="H22" i="14"/>
  <c r="H9" i="14"/>
  <c r="H17" i="14"/>
  <c r="H25" i="14"/>
  <c r="H8" i="14"/>
  <c r="H16" i="14"/>
  <c r="H24" i="14"/>
  <c r="H11" i="14"/>
  <c r="H19" i="14"/>
  <c r="H23" i="14"/>
  <c r="H27" i="14"/>
  <c r="H12" i="13"/>
  <c r="H10" i="13"/>
  <c r="H13" i="13"/>
  <c r="H11" i="13"/>
  <c r="H9" i="13"/>
  <c r="H20" i="13"/>
  <c r="H8" i="13"/>
  <c r="H7" i="13"/>
  <c r="H28" i="13"/>
  <c r="H15" i="13"/>
  <c r="H16" i="13"/>
  <c r="H18" i="13"/>
  <c r="H24" i="13"/>
  <c r="H22" i="13"/>
  <c r="H19" i="13"/>
  <c r="H26" i="13"/>
  <c r="H23" i="13"/>
  <c r="H27" i="13"/>
  <c r="H29" i="13"/>
  <c r="H21" i="13"/>
  <c r="H17" i="13"/>
  <c r="H25" i="13"/>
  <c r="F20" i="6"/>
  <c r="G19" i="6"/>
  <c r="G20" i="6"/>
  <c r="H19" i="6"/>
  <c r="H20" i="6"/>
  <c r="G15" i="4"/>
  <c r="G25" i="4"/>
  <c r="I8" i="4"/>
  <c r="F22" i="5"/>
  <c r="B22" i="5"/>
  <c r="F20" i="10"/>
  <c r="L20" i="10" s="1"/>
  <c r="F12" i="10"/>
  <c r="L12" i="10" s="1"/>
  <c r="R10" i="10"/>
  <c r="R8" i="10"/>
  <c r="R18" i="10"/>
  <c r="K20" i="10"/>
  <c r="B12" i="10"/>
  <c r="B20" i="10"/>
  <c r="K19" i="10"/>
  <c r="R19" i="10" s="1"/>
  <c r="R11" i="10"/>
  <c r="Q20" i="10"/>
  <c r="L6" i="10"/>
  <c r="L7" i="10"/>
  <c r="L13" i="10"/>
  <c r="L14" i="10"/>
  <c r="L15" i="10"/>
  <c r="V22" i="5"/>
  <c r="P7" i="1"/>
  <c r="O7" i="1" s="1"/>
  <c r="N14" i="1"/>
  <c r="G24" i="1"/>
  <c r="H7" i="1"/>
  <c r="M7" i="8"/>
  <c r="N7" i="8" s="1"/>
  <c r="G30" i="11"/>
  <c r="H30" i="11" s="1"/>
  <c r="H7" i="21"/>
  <c r="G30" i="12"/>
  <c r="H8" i="12" s="1"/>
  <c r="L24" i="8"/>
  <c r="J24" i="8"/>
  <c r="H24" i="8"/>
  <c r="K24" i="8"/>
  <c r="I24" i="8"/>
  <c r="G22" i="8"/>
  <c r="N22" i="8" s="1"/>
  <c r="E18" i="4"/>
  <c r="E20" i="4"/>
  <c r="E16" i="4"/>
  <c r="C8" i="4"/>
  <c r="E11" i="4"/>
  <c r="C15" i="4"/>
  <c r="E13" i="4"/>
  <c r="E9" i="4"/>
  <c r="E15" i="4"/>
  <c r="C21" i="4"/>
  <c r="C19" i="4"/>
  <c r="C17" i="4"/>
  <c r="C12" i="4"/>
  <c r="C10" i="4"/>
  <c r="F23" i="4"/>
  <c r="V14" i="5"/>
  <c r="X21" i="5"/>
  <c r="Z22" i="5"/>
  <c r="C22" i="5"/>
  <c r="R22" i="5"/>
  <c r="U21" i="5"/>
  <c r="R21" i="5"/>
  <c r="U22" i="5"/>
  <c r="G12" i="6"/>
  <c r="F19" i="6"/>
  <c r="H12" i="6"/>
  <c r="M24" i="8" l="1"/>
  <c r="N24" i="8" s="1"/>
  <c r="H25" i="22"/>
  <c r="M14" i="8"/>
  <c r="N14" i="8" s="1"/>
  <c r="AA22" i="5"/>
  <c r="AD22" i="5"/>
  <c r="R20" i="10"/>
  <c r="H12" i="22"/>
  <c r="H24" i="22"/>
  <c r="H20" i="22"/>
  <c r="H16" i="22"/>
  <c r="H23" i="22"/>
  <c r="H9" i="22"/>
  <c r="H14" i="22"/>
  <c r="H18" i="22"/>
  <c r="H28" i="22"/>
  <c r="H11" i="22"/>
  <c r="H19" i="22"/>
  <c r="H22" i="22"/>
  <c r="H15" i="22"/>
  <c r="H21" i="22"/>
  <c r="H7" i="22"/>
  <c r="H29" i="22"/>
  <c r="H26" i="22"/>
  <c r="H13" i="22"/>
  <c r="H8" i="22"/>
  <c r="H17" i="22"/>
  <c r="H10" i="22"/>
  <c r="H18" i="21"/>
  <c r="H15" i="21"/>
  <c r="H13" i="21"/>
  <c r="H11" i="21"/>
  <c r="H9" i="21"/>
  <c r="H17" i="21"/>
  <c r="H29" i="21"/>
  <c r="H27" i="21"/>
  <c r="H25" i="21"/>
  <c r="H23" i="21"/>
  <c r="H21" i="21"/>
  <c r="H19" i="21"/>
  <c r="H16" i="21"/>
  <c r="H14" i="21"/>
  <c r="H12" i="21"/>
  <c r="H10" i="21"/>
  <c r="AA17" i="5"/>
  <c r="R7" i="1"/>
  <c r="P14" i="1"/>
  <c r="R14" i="1" s="1"/>
  <c r="X14" i="5"/>
  <c r="AA14" i="5"/>
  <c r="H28" i="20"/>
  <c r="H24" i="20"/>
  <c r="H26" i="20"/>
  <c r="H22" i="20"/>
  <c r="H14" i="20"/>
  <c r="H18" i="20"/>
  <c r="H10" i="20"/>
  <c r="H25" i="20"/>
  <c r="H17" i="20"/>
  <c r="H9" i="20"/>
  <c r="H20" i="20"/>
  <c r="H16" i="20"/>
  <c r="H12" i="20"/>
  <c r="H8" i="20"/>
  <c r="H29" i="20"/>
  <c r="H21" i="20"/>
  <c r="H13" i="20"/>
  <c r="H27" i="20"/>
  <c r="H23" i="20"/>
  <c r="H19" i="20"/>
  <c r="H15" i="20"/>
  <c r="H11" i="20"/>
  <c r="H28" i="19"/>
  <c r="H24" i="19"/>
  <c r="H20" i="19"/>
  <c r="H26" i="19"/>
  <c r="H22" i="19"/>
  <c r="H16" i="19"/>
  <c r="H8" i="19"/>
  <c r="H12" i="19"/>
  <c r="H27" i="19"/>
  <c r="H23" i="19"/>
  <c r="H18" i="19"/>
  <c r="H14" i="19"/>
  <c r="H10" i="19"/>
  <c r="H29" i="19"/>
  <c r="H25" i="19"/>
  <c r="H15" i="19"/>
  <c r="H19" i="19"/>
  <c r="H11" i="19"/>
  <c r="H21" i="19"/>
  <c r="H17" i="19"/>
  <c r="H13" i="19"/>
  <c r="H9" i="19"/>
  <c r="H31" i="18"/>
  <c r="H30" i="17"/>
  <c r="H27" i="16"/>
  <c r="H23" i="16"/>
  <c r="H29" i="16"/>
  <c r="H25" i="16"/>
  <c r="H19" i="16"/>
  <c r="H21" i="16"/>
  <c r="H15" i="16"/>
  <c r="H17" i="16"/>
  <c r="H13" i="16"/>
  <c r="H7" i="16"/>
  <c r="H11" i="16"/>
  <c r="H22" i="16"/>
  <c r="H26" i="16"/>
  <c r="H18" i="16"/>
  <c r="H9" i="16"/>
  <c r="H28" i="16"/>
  <c r="H24" i="16"/>
  <c r="H20" i="16"/>
  <c r="H14" i="16"/>
  <c r="H16" i="16"/>
  <c r="H12" i="16"/>
  <c r="H10" i="16"/>
  <c r="H31" i="15"/>
  <c r="H31" i="14"/>
  <c r="H30" i="13"/>
  <c r="I25" i="4"/>
  <c r="I15" i="4"/>
  <c r="K8" i="4"/>
  <c r="L19" i="10"/>
  <c r="X22" i="5"/>
  <c r="P24" i="1"/>
  <c r="R24" i="1" s="1"/>
  <c r="H29" i="11"/>
  <c r="H17" i="11"/>
  <c r="H25" i="11"/>
  <c r="H26" i="11"/>
  <c r="H21" i="11"/>
  <c r="H13" i="11"/>
  <c r="H14" i="11"/>
  <c r="H9" i="11"/>
  <c r="H22" i="11"/>
  <c r="H7" i="11"/>
  <c r="H18" i="11"/>
  <c r="H10" i="11"/>
  <c r="H23" i="11"/>
  <c r="H27" i="11"/>
  <c r="H15" i="11"/>
  <c r="H19" i="11"/>
  <c r="H28" i="11"/>
  <c r="H11" i="11"/>
  <c r="H20" i="11"/>
  <c r="H12" i="11"/>
  <c r="H24" i="11"/>
  <c r="H16" i="11"/>
  <c r="H8" i="11"/>
  <c r="H28" i="12"/>
  <c r="H24" i="12"/>
  <c r="H20" i="12"/>
  <c r="H16" i="12"/>
  <c r="H11" i="12"/>
  <c r="H7" i="12"/>
  <c r="H27" i="12"/>
  <c r="H23" i="12"/>
  <c r="H19" i="12"/>
  <c r="H14" i="12"/>
  <c r="H10" i="12"/>
  <c r="H15" i="12"/>
  <c r="H26" i="12"/>
  <c r="H22" i="12"/>
  <c r="H18" i="12"/>
  <c r="H13" i="12"/>
  <c r="H9" i="12"/>
  <c r="H29" i="12"/>
  <c r="H25" i="12"/>
  <c r="H21" i="12"/>
  <c r="H17" i="12"/>
  <c r="H12" i="12"/>
  <c r="C23" i="4"/>
  <c r="E23" i="4"/>
  <c r="F25" i="4"/>
  <c r="O14" i="1" l="1"/>
  <c r="H30" i="22"/>
  <c r="H30" i="21"/>
  <c r="H14" i="1"/>
  <c r="H30" i="20"/>
  <c r="H30" i="19"/>
  <c r="H30" i="16"/>
  <c r="H24" i="1"/>
  <c r="H30" i="12"/>
  <c r="H8" i="4"/>
  <c r="V6" i="6"/>
  <c r="J8" i="4"/>
  <c r="K15" i="4"/>
  <c r="K25" i="4"/>
  <c r="H25" i="4" s="1"/>
  <c r="O24" i="1"/>
  <c r="C25" i="4"/>
  <c r="E25" i="4"/>
  <c r="V20" i="6" l="1"/>
  <c r="W20" i="6" s="1"/>
  <c r="W6" i="6"/>
  <c r="J25" i="4"/>
  <c r="H15" i="4"/>
  <c r="J15" i="4"/>
  <c r="V12" i="6"/>
  <c r="W12" i="6" s="1"/>
</calcChain>
</file>

<file path=xl/sharedStrings.xml><?xml version="1.0" encoding="utf-8"?>
<sst xmlns="http://schemas.openxmlformats.org/spreadsheetml/2006/main" count="726" uniqueCount="148">
  <si>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</si>
  <si>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</si>
  <si>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</si>
  <si>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</si>
  <si>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</si>
  <si>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</si>
  <si>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</si>
  <si>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</si>
  <si>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</si>
  <si>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</si>
  <si>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</si>
  <si>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</si>
  <si>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</si>
  <si>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£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</si>
  <si>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</si>
  <si>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</si>
  <si>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</si>
  <si>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</si>
  <si>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</si>
  <si>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</si>
  <si>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</si>
  <si>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</si>
  <si>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</si>
  <si>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</si>
  <si>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</si>
  <si>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</si>
  <si>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</si>
  <si>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</si>
  <si>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</si>
  <si>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</si>
  <si>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</si>
  <si>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</si>
  <si>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</si>
  <si>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</si>
  <si>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</si>
  <si>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</si>
  <si>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</si>
  <si>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</si>
  <si>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</si>
  <si>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</si>
  <si>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</si>
  <si>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</si>
  <si>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</si>
  <si>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</si>
  <si>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</si>
  <si>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</si>
  <si>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</si>
  <si>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</si>
  <si>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</si>
  <si>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</si>
  <si>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</si>
  <si>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</si>
  <si>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</si>
  <si>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</si>
  <si>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</si>
  <si>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</si>
  <si>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</si>
  <si>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1. Οι δικαιούχοι δεν πληρώνονται απαραίτητα τον αντίστοιχο μήνα αναφοράς,</t>
  </si>
  <si>
    <t>ΕΤΗΣΙΑ ΔΑΠΑΝΗ €**</t>
  </si>
  <si>
    <t>ΠΟΣΟ ΠΛΗΡΩΜΗΣ* €</t>
  </si>
  <si>
    <t>% μεταβολής του συνόλου 2011/2010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</si>
  <si>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</si>
  <si>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</si>
  <si>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</si>
  <si>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</si>
  <si>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</si>
  <si>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</si>
  <si>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</si>
  <si>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</si>
  <si>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</si>
  <si>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</si>
  <si>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</si>
  <si>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</si>
  <si>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</si>
  <si>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</si>
  <si>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</si>
  <si>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</si>
  <si>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</si>
  <si>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</si>
  <si>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</si>
  <si>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</si>
  <si>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</si>
  <si>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</si>
  <si>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</si>
  <si>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</si>
  <si>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</si>
  <si>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</si>
  <si>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</si>
  <si>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</si>
  <si>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</si>
  <si>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</si>
  <si>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</si>
  <si>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</si>
  <si>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</si>
  <si>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του συνόλου 2012/2011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</si>
  <si>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</si>
  <si>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</si>
  <si>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</si>
  <si>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</si>
  <si>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</si>
  <si>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</si>
  <si>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</si>
  <si>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</si>
  <si>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</si>
  <si>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</si>
  <si>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</si>
  <si>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</si>
  <si>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</si>
  <si>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</si>
  <si>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</si>
  <si>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</si>
  <si>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</si>
  <si>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</si>
  <si>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</si>
  <si>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</si>
  <si>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</si>
  <si>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</si>
  <si>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του συνόλου 2014/2013</t>
  </si>
  <si>
    <t>% μεταβολής στον αρ. ατόμων 2014/2013</t>
  </si>
  <si>
    <t xml:space="preserve">      ΓΙΑ ΕΠΙΔΟΜΑ ΑΝΕΡΓΙΑΣ ΤΟ 2015 ΚΑΤΑ ΕΠΑΡΧΙΑ, ΦΥΛΟ ΚΑΙ ΜΗΝΑ  </t>
  </si>
  <si>
    <t>ΓΙΑ ΕΠΙΔΟΜΑ ΑΝΕΡΓΙΑΣ ΓΙΑ ΤΑ ΧΡΟΝΙΑ 2014 ΚΑΙ 2015 ΚΑΤΑ ΕΠΑΡΧΙΑ ΚΑΙ ΜΗΝΑ</t>
  </si>
  <si>
    <t>ΓΙΑ ΕΠΙΔΟΜΑ ΑΝΕΡΓΙΑΣ ΚΑΤΑ ΦΥΛΟ ΚΑΙ ΜΗΝΑ ΓΙΑ ΤΑ ΧΡΟΝΙΑ 2014 ΚΑΙ 2015</t>
  </si>
  <si>
    <t>% μεταβολής 2015/2014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</si>
  <si>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1995 - 2015</t>
    </r>
  </si>
  <si>
    <t>% μεταβολής του συνόλου 2015/2014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</si>
  <si>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2014 -2015</t>
    </r>
  </si>
  <si>
    <t>% μεταβολής στον αρ. ατόμων 2015/2014</t>
  </si>
  <si>
    <t>ΠΙΝΑΚΑΣ ΣΤΟΝ ΟΠΟΙΟ ΦΑΙΝΕΤΑΙ Ο ΑΡΙΘΜΟΣ ΤΩΝ ΔΙΚΑΙΟΥΧΩΝ ΕΠΙΔΟΜΑΤΟΣ ΑΝΕΡΓΙΑΣ ΚΑΙ ΤΟ ΠΟΣΟ ΠΛΗΡΩΜΗΣ* ΚΑΤΑ ΜΗΝΑ ΓΙΑ ΤΑ ΧΡΟΝΙΑ 2011 - 2015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</si>
  <si>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2015 </t>
  </si>
  <si>
    <t>Unemployment benefit by economic activity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</si>
  <si>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</si>
  <si>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</si>
  <si>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</si>
  <si>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</si>
  <si>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</si>
  <si>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2015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</si>
  <si>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2015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</si>
  <si>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2015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</si>
  <si>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2015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</si>
  <si>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2015 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</si>
  <si>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2015 </t>
  </si>
  <si>
    <t>ΠΟΣΟΣΤΙΑΙΑ ΑΥΞΗΣΗ</t>
  </si>
  <si>
    <t>ΓΕΝΙΚΟ ΣΥΝΟΛΟ</t>
  </si>
  <si>
    <t>UNEMPLOYMENT BENEFIT Y2011-2015</t>
  </si>
  <si>
    <t>Unemployment benefit by economic activity 2015 (Jan-June)</t>
  </si>
  <si>
    <t>Unemployment benefit by economic activity 2015 (Jan-Dec)</t>
  </si>
  <si>
    <t>UNEMPLOYMENT BENEFIT Y2014-2015</t>
  </si>
  <si>
    <t xml:space="preserve">**  Η ετήσια δαπάνη είναι σύμφωνα με τους τελικούς λογαριασμούς του Ταμείου Κοινωνικών Ασφαλίσεων. Το ετήσιο ποσό του 2013 - 2015 διαφέρει από τη μηνιαία δαπάνη γιατί περιλαμβάνει και τις αποδόσεις των δαπανών ανεργίας σε / από άλλες χώρες της Ε.Ε. με βάση τον Κανονισμό.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</si>
</sst>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</numFmts>
  <fonts count="42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0" borderId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8" applyNumberFormat="0" applyFill="0" applyAlignment="0" applyProtection="0"/>
    <xf numFmtId="0" fontId="28" fillId="0" borderId="69" applyNumberFormat="0" applyFill="0" applyAlignment="0" applyProtection="0"/>
    <xf numFmtId="0" fontId="29" fillId="0" borderId="70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71" applyNumberFormat="0" applyAlignment="0" applyProtection="0"/>
    <xf numFmtId="0" fontId="34" fillId="6" borderId="72" applyNumberFormat="0" applyAlignment="0" applyProtection="0"/>
    <xf numFmtId="0" fontId="35" fillId="6" borderId="71" applyNumberFormat="0" applyAlignment="0" applyProtection="0"/>
    <xf numFmtId="0" fontId="36" fillId="0" borderId="73" applyNumberFormat="0" applyFill="0" applyAlignment="0" applyProtection="0"/>
    <xf numFmtId="0" fontId="37" fillId="7" borderId="7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76" applyNumberFormat="0" applyFill="0" applyAlignment="0" applyProtection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0" borderId="0"/>
    <xf numFmtId="0" fontId="1" fillId="8" borderId="75" applyNumberFormat="0" applyFont="0" applyAlignment="0" applyProtection="0"/>
  </cellStyleXfs>
  <cellXfs count="4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6" xfId="2" applyNumberFormat="1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0" xfId="2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164" fontId="14" fillId="0" borderId="26" xfId="0" applyNumberFormat="1" applyFont="1" applyBorder="1"/>
    <xf numFmtId="0" fontId="14" fillId="0" borderId="0" xfId="0" applyFont="1"/>
    <xf numFmtId="166" fontId="14" fillId="0" borderId="0" xfId="0" applyNumberFormat="1" applyFont="1" applyAlignment="1">
      <alignment horizontal="left"/>
    </xf>
    <xf numFmtId="0" fontId="20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21" fillId="0" borderId="0" xfId="0" applyFont="1"/>
    <xf numFmtId="14" fontId="0" fillId="0" borderId="0" xfId="0" applyNumberFormat="1" applyAlignment="1">
      <alignment horizontal="left"/>
    </xf>
    <xf numFmtId="0" fontId="18" fillId="0" borderId="0" xfId="0" applyFont="1"/>
    <xf numFmtId="0" fontId="14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8" fillId="0" borderId="0" xfId="0" applyFont="1" applyAlignment="1"/>
    <xf numFmtId="3" fontId="15" fillId="0" borderId="0" xfId="0" applyNumberFormat="1" applyFont="1" applyBorder="1" applyAlignment="1">
      <alignment wrapText="1"/>
    </xf>
    <xf numFmtId="164" fontId="15" fillId="0" borderId="0" xfId="0" applyNumberFormat="1" applyFont="1" applyBorder="1"/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4" fontId="15" fillId="0" borderId="0" xfId="0" applyNumberFormat="1" applyFont="1" applyBorder="1" applyAlignment="1"/>
    <xf numFmtId="0" fontId="18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1" fontId="12" fillId="0" borderId="34" xfId="0" applyNumberFormat="1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1" fontId="12" fillId="0" borderId="34" xfId="0" applyNumberFormat="1" applyFont="1" applyBorder="1" applyAlignment="1">
      <alignment horizontal="right"/>
    </xf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3" fillId="0" borderId="9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15" fillId="0" borderId="9" xfId="0" applyNumberFormat="1" applyFont="1" applyBorder="1"/>
    <xf numFmtId="164" fontId="15" fillId="0" borderId="9" xfId="0" applyNumberFormat="1" applyFont="1" applyBorder="1" applyAlignment="1">
      <alignment horizontal="center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14" fillId="0" borderId="10" xfId="0" applyNumberFormat="1" applyFont="1" applyBorder="1"/>
    <xf numFmtId="0" fontId="3" fillId="0" borderId="26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3" fillId="0" borderId="15" xfId="0" applyFont="1" applyBorder="1"/>
    <xf numFmtId="0" fontId="3" fillId="0" borderId="11" xfId="0" applyFont="1" applyBorder="1"/>
    <xf numFmtId="164" fontId="3" fillId="0" borderId="45" xfId="0" applyNumberFormat="1" applyFont="1" applyBorder="1"/>
    <xf numFmtId="164" fontId="4" fillId="0" borderId="46" xfId="0" applyNumberFormat="1" applyFont="1" applyBorder="1" applyAlignment="1">
      <alignment horizontal="left"/>
    </xf>
    <xf numFmtId="164" fontId="3" fillId="0" borderId="6" xfId="0" applyNumberFormat="1" applyFont="1" applyBorder="1"/>
    <xf numFmtId="165" fontId="0" fillId="0" borderId="26" xfId="0" applyNumberFormat="1" applyBorder="1"/>
    <xf numFmtId="165" fontId="12" fillId="0" borderId="26" xfId="0" applyNumberFormat="1" applyFont="1" applyBorder="1"/>
    <xf numFmtId="0" fontId="18" fillId="0" borderId="9" xfId="0" applyFont="1" applyBorder="1" applyAlignment="1">
      <alignment horizontal="center"/>
    </xf>
    <xf numFmtId="164" fontId="3" fillId="0" borderId="26" xfId="0" applyNumberFormat="1" applyFont="1" applyBorder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6" fontId="14" fillId="0" borderId="0" xfId="0" applyNumberFormat="1" applyFont="1" applyAlignment="1"/>
    <xf numFmtId="165" fontId="6" fillId="0" borderId="26" xfId="0" applyNumberFormat="1" applyFont="1" applyBorder="1" applyAlignment="1">
      <alignment wrapText="1"/>
    </xf>
    <xf numFmtId="165" fontId="6" fillId="0" borderId="48" xfId="0" applyNumberFormat="1" applyFont="1" applyBorder="1" applyAlignment="1">
      <alignment wrapText="1"/>
    </xf>
    <xf numFmtId="1" fontId="5" fillId="0" borderId="3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7" xfId="0" applyNumberFormat="1" applyFont="1" applyBorder="1"/>
    <xf numFmtId="164" fontId="4" fillId="0" borderId="34" xfId="0" applyNumberFormat="1" applyFont="1" applyBorder="1" applyAlignment="1">
      <alignment horizontal="center"/>
    </xf>
    <xf numFmtId="0" fontId="13" fillId="0" borderId="0" xfId="0" applyFont="1"/>
    <xf numFmtId="164" fontId="3" fillId="0" borderId="14" xfId="0" applyNumberFormat="1" applyFont="1" applyBorder="1"/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26" xfId="2" applyNumberFormat="1" applyFont="1" applyBorder="1" applyAlignment="1">
      <alignment horizontal="center"/>
    </xf>
    <xf numFmtId="164" fontId="3" fillId="0" borderId="40" xfId="0" applyNumberFormat="1" applyFont="1" applyBorder="1"/>
    <xf numFmtId="164" fontId="14" fillId="0" borderId="40" xfId="0" applyNumberFormat="1" applyFont="1" applyBorder="1"/>
    <xf numFmtId="0" fontId="4" fillId="0" borderId="17" xfId="0" applyFont="1" applyBorder="1" applyAlignment="1">
      <alignment horizontal="center" vertical="center" wrapText="1"/>
    </xf>
    <xf numFmtId="164" fontId="3" fillId="0" borderId="41" xfId="0" applyNumberFormat="1" applyFont="1" applyBorder="1"/>
    <xf numFmtId="164" fontId="3" fillId="0" borderId="55" xfId="0" applyNumberFormat="1" applyFont="1" applyBorder="1"/>
    <xf numFmtId="164" fontId="4" fillId="0" borderId="47" xfId="0" applyNumberFormat="1" applyFont="1" applyBorder="1" applyAlignment="1">
      <alignment horizontal="left"/>
    </xf>
    <xf numFmtId="10" fontId="18" fillId="0" borderId="30" xfId="1" applyNumberFormat="1" applyBorder="1"/>
    <xf numFmtId="10" fontId="18" fillId="0" borderId="26" xfId="1" applyNumberFormat="1" applyBorder="1"/>
    <xf numFmtId="10" fontId="18" fillId="0" borderId="48" xfId="1" applyNumberFormat="1" applyBorder="1"/>
    <xf numFmtId="10" fontId="12" fillId="0" borderId="27" xfId="1" applyNumberFormat="1" applyFont="1" applyBorder="1"/>
    <xf numFmtId="1" fontId="15" fillId="0" borderId="34" xfId="0" applyNumberFormat="1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5" fillId="0" borderId="34" xfId="0" applyNumberFormat="1" applyFont="1" applyBorder="1" applyAlignment="1">
      <alignment horizontal="right"/>
    </xf>
    <xf numFmtId="1" fontId="4" fillId="0" borderId="34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wrapText="1"/>
    </xf>
    <xf numFmtId="0" fontId="13" fillId="0" borderId="0" xfId="0" applyFont="1" applyFill="1"/>
    <xf numFmtId="0" fontId="13" fillId="0" borderId="0" xfId="0" applyFont="1" applyFill="1" applyAlignment="1"/>
    <xf numFmtId="10" fontId="0" fillId="0" borderId="26" xfId="0" applyNumberForma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164" fontId="15" fillId="0" borderId="19" xfId="0" applyNumberFormat="1" applyFont="1" applyBorder="1" applyAlignment="1">
      <alignment horizontal="left"/>
    </xf>
    <xf numFmtId="164" fontId="3" fillId="0" borderId="20" xfId="0" applyNumberFormat="1" applyFont="1" applyBorder="1" applyAlignment="1">
      <alignment horizontal="left"/>
    </xf>
    <xf numFmtId="164" fontId="4" fillId="0" borderId="39" xfId="0" applyNumberFormat="1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2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2" fillId="0" borderId="37" xfId="1" applyNumberFormat="1" applyFont="1" applyBorder="1"/>
    <xf numFmtId="10" fontId="18" fillId="0" borderId="7" xfId="1" applyNumberFormat="1" applyBorder="1"/>
    <xf numFmtId="0" fontId="4" fillId="0" borderId="50" xfId="0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left"/>
    </xf>
    <xf numFmtId="0" fontId="12" fillId="0" borderId="0" xfId="0" applyFont="1" applyFill="1"/>
    <xf numFmtId="10" fontId="18" fillId="0" borderId="52" xfId="1" applyNumberFormat="1" applyBorder="1"/>
    <xf numFmtId="10" fontId="18" fillId="0" borderId="29" xfId="1" applyNumberFormat="1" applyBorder="1"/>
    <xf numFmtId="10" fontId="18" fillId="0" borderId="49" xfId="1" applyNumberFormat="1" applyBorder="1"/>
    <xf numFmtId="10" fontId="12" fillId="0" borderId="35" xfId="1" applyNumberFormat="1" applyFont="1" applyBorder="1"/>
    <xf numFmtId="10" fontId="18" fillId="0" borderId="37" xfId="1" applyNumberFormat="1" applyBorder="1"/>
    <xf numFmtId="0" fontId="0" fillId="0" borderId="30" xfId="0" applyBorder="1"/>
    <xf numFmtId="10" fontId="12" fillId="0" borderId="28" xfId="1" applyNumberFormat="1" applyFont="1" applyBorder="1"/>
    <xf numFmtId="164" fontId="3" fillId="0" borderId="50" xfId="0" applyNumberFormat="1" applyFont="1" applyBorder="1" applyAlignment="1">
      <alignment horizontal="left"/>
    </xf>
    <xf numFmtId="164" fontId="4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6" fillId="0" borderId="36" xfId="0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164" fontId="3" fillId="0" borderId="57" xfId="0" applyNumberFormat="1" applyFont="1" applyBorder="1"/>
    <xf numFmtId="0" fontId="15" fillId="0" borderId="0" xfId="0" applyFont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0" fontId="18" fillId="0" borderId="33" xfId="1" applyNumberFormat="1" applyBorder="1"/>
    <xf numFmtId="10" fontId="18" fillId="0" borderId="42" xfId="1" applyNumberFormat="1" applyBorder="1"/>
    <xf numFmtId="166" fontId="14" fillId="0" borderId="0" xfId="0" applyNumberFormat="1" applyFont="1" applyAlignment="1">
      <alignment horizontal="left"/>
    </xf>
    <xf numFmtId="10" fontId="18" fillId="0" borderId="44" xfId="1" applyNumberFormat="1" applyBorder="1"/>
    <xf numFmtId="166" fontId="14" fillId="0" borderId="0" xfId="0" applyNumberFormat="1" applyFont="1" applyAlignment="1">
      <alignment horizontal="left"/>
    </xf>
    <xf numFmtId="0" fontId="3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165" fontId="3" fillId="0" borderId="27" xfId="2" applyNumberFormat="1" applyFont="1" applyBorder="1" applyAlignment="1">
      <alignment horizontal="center"/>
    </xf>
    <xf numFmtId="164" fontId="0" fillId="0" borderId="0" xfId="0" applyNumberFormat="1"/>
    <xf numFmtId="0" fontId="3" fillId="0" borderId="10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165" fontId="3" fillId="0" borderId="26" xfId="0" applyNumberFormat="1" applyFont="1" applyBorder="1"/>
    <xf numFmtId="165" fontId="3" fillId="0" borderId="9" xfId="2" applyNumberFormat="1" applyFont="1" applyBorder="1"/>
    <xf numFmtId="165" fontId="3" fillId="0" borderId="10" xfId="2" applyNumberFormat="1" applyFont="1" applyBorder="1"/>
    <xf numFmtId="0" fontId="4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5" fillId="0" borderId="30" xfId="0" applyFont="1" applyBorder="1" applyAlignment="1">
      <alignment horizontal="center" vertical="top" wrapText="1"/>
    </xf>
    <xf numFmtId="0" fontId="6" fillId="0" borderId="9" xfId="0" applyFont="1" applyFill="1" applyBorder="1"/>
    <xf numFmtId="165" fontId="14" fillId="0" borderId="26" xfId="0" applyNumberFormat="1" applyFont="1" applyBorder="1" applyAlignment="1">
      <alignment wrapText="1"/>
    </xf>
    <xf numFmtId="165" fontId="15" fillId="0" borderId="7" xfId="0" applyNumberFormat="1" applyFont="1" applyBorder="1" applyAlignment="1">
      <alignment wrapText="1"/>
    </xf>
    <xf numFmtId="0" fontId="4" fillId="0" borderId="31" xfId="0" applyFont="1" applyBorder="1" applyAlignment="1">
      <alignment horizontal="left" vertical="center" wrapText="1"/>
    </xf>
    <xf numFmtId="165" fontId="15" fillId="0" borderId="27" xfId="0" applyNumberFormat="1" applyFont="1" applyBorder="1" applyAlignment="1">
      <alignment wrapText="1"/>
    </xf>
    <xf numFmtId="1" fontId="12" fillId="0" borderId="34" xfId="0" applyNumberFormat="1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14" fillId="0" borderId="8" xfId="0" applyFont="1" applyBorder="1"/>
    <xf numFmtId="165" fontId="6" fillId="0" borderId="9" xfId="0" applyNumberFormat="1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26" xfId="0" applyBorder="1"/>
    <xf numFmtId="165" fontId="14" fillId="0" borderId="9" xfId="2" applyNumberFormat="1" applyFont="1" applyBorder="1" applyAlignment="1">
      <alignment horizontal="center"/>
    </xf>
    <xf numFmtId="0" fontId="14" fillId="0" borderId="11" xfId="0" applyFont="1" applyBorder="1"/>
    <xf numFmtId="165" fontId="6" fillId="0" borderId="10" xfId="0" applyNumberFormat="1" applyFont="1" applyBorder="1" applyAlignment="1">
      <alignment wrapText="1"/>
    </xf>
    <xf numFmtId="0" fontId="14" fillId="0" borderId="15" xfId="0" applyFont="1" applyBorder="1"/>
    <xf numFmtId="165" fontId="6" fillId="0" borderId="6" xfId="0" applyNumberFormat="1" applyFont="1" applyBorder="1" applyAlignment="1">
      <alignment wrapText="1"/>
    </xf>
    <xf numFmtId="0" fontId="15" fillId="0" borderId="31" xfId="0" applyFont="1" applyBorder="1" applyAlignment="1">
      <alignment horizontal="left" vertical="center" wrapText="1"/>
    </xf>
    <xf numFmtId="165" fontId="5" fillId="0" borderId="34" xfId="0" applyNumberFormat="1" applyFont="1" applyBorder="1" applyAlignment="1">
      <alignment wrapText="1"/>
    </xf>
    <xf numFmtId="165" fontId="6" fillId="0" borderId="34" xfId="0" applyNumberFormat="1" applyFont="1" applyBorder="1" applyAlignment="1">
      <alignment wrapText="1"/>
    </xf>
    <xf numFmtId="165" fontId="6" fillId="0" borderId="34" xfId="0" applyNumberFormat="1" applyFont="1" applyFill="1" applyBorder="1" applyAlignment="1">
      <alignment wrapText="1"/>
    </xf>
    <xf numFmtId="165" fontId="6" fillId="0" borderId="27" xfId="0" applyNumberFormat="1" applyFont="1" applyBorder="1" applyAlignment="1">
      <alignment wrapText="1"/>
    </xf>
    <xf numFmtId="0" fontId="0" fillId="0" borderId="15" xfId="0" applyBorder="1"/>
    <xf numFmtId="0" fontId="0" fillId="0" borderId="6" xfId="0" applyBorder="1"/>
    <xf numFmtId="165" fontId="15" fillId="0" borderId="6" xfId="2" applyNumberFormat="1" applyFont="1" applyBorder="1" applyAlignment="1">
      <alignment horizontal="center"/>
    </xf>
    <xf numFmtId="0" fontId="0" fillId="0" borderId="7" xfId="0" applyBorder="1"/>
    <xf numFmtId="1" fontId="15" fillId="0" borderId="34" xfId="0" applyNumberFormat="1" applyFont="1" applyBorder="1" applyAlignment="1">
      <alignment horizontal="center"/>
    </xf>
    <xf numFmtId="0" fontId="14" fillId="0" borderId="13" xfId="0" applyFont="1" applyBorder="1"/>
    <xf numFmtId="0" fontId="15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9" xfId="0" applyFont="1" applyBorder="1"/>
    <xf numFmtId="0" fontId="16" fillId="0" borderId="9" xfId="0" applyFont="1" applyBorder="1" applyAlignment="1">
      <alignment horizontal="center"/>
    </xf>
    <xf numFmtId="0" fontId="11" fillId="0" borderId="8" xfId="0" applyFont="1" applyBorder="1"/>
    <xf numFmtId="164" fontId="19" fillId="0" borderId="9" xfId="0" applyNumberFormat="1" applyFont="1" applyBorder="1"/>
    <xf numFmtId="165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0" fontId="11" fillId="0" borderId="11" xfId="0" applyFont="1" applyBorder="1"/>
    <xf numFmtId="164" fontId="19" fillId="0" borderId="10" xfId="0" applyNumberFormat="1" applyFont="1" applyBorder="1"/>
    <xf numFmtId="165" fontId="14" fillId="0" borderId="10" xfId="2" applyNumberFormat="1" applyFont="1" applyBorder="1" applyAlignment="1">
      <alignment horizontal="center"/>
    </xf>
    <xf numFmtId="0" fontId="11" fillId="0" borderId="15" xfId="0" applyFont="1" applyBorder="1"/>
    <xf numFmtId="164" fontId="19" fillId="0" borderId="6" xfId="0" applyNumberFormat="1" applyFont="1" applyBorder="1"/>
    <xf numFmtId="164" fontId="14" fillId="0" borderId="6" xfId="0" applyNumberFormat="1" applyFont="1" applyBorder="1"/>
    <xf numFmtId="165" fontId="14" fillId="0" borderId="6" xfId="2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16" fillId="0" borderId="31" xfId="0" applyFont="1" applyBorder="1" applyAlignment="1">
      <alignment wrapText="1"/>
    </xf>
    <xf numFmtId="164" fontId="19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5" fontId="15" fillId="0" borderId="34" xfId="2" applyNumberFormat="1" applyFont="1" applyBorder="1" applyAlignment="1">
      <alignment horizontal="center"/>
    </xf>
    <xf numFmtId="165" fontId="4" fillId="0" borderId="34" xfId="2" applyNumberFormat="1" applyFont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" fontId="19" fillId="0" borderId="34" xfId="0" applyNumberFormat="1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165" fontId="4" fillId="0" borderId="27" xfId="2" applyNumberFormat="1" applyFont="1" applyBorder="1" applyAlignment="1">
      <alignment horizontal="center"/>
    </xf>
    <xf numFmtId="164" fontId="19" fillId="0" borderId="34" xfId="0" applyNumberFormat="1" applyFont="1" applyBorder="1"/>
    <xf numFmtId="164" fontId="14" fillId="0" borderId="34" xfId="0" applyNumberFormat="1" applyFont="1" applyBorder="1"/>
    <xf numFmtId="164" fontId="15" fillId="0" borderId="34" xfId="0" applyNumberFormat="1" applyFont="1" applyBorder="1" applyAlignment="1"/>
    <xf numFmtId="164" fontId="15" fillId="0" borderId="34" xfId="0" applyNumberFormat="1" applyFont="1" applyBorder="1"/>
    <xf numFmtId="1" fontId="3" fillId="0" borderId="34" xfId="0" applyNumberFormat="1" applyFont="1" applyBorder="1" applyAlignment="1">
      <alignment horizontal="center"/>
    </xf>
    <xf numFmtId="0" fontId="15" fillId="0" borderId="31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168" fontId="15" fillId="0" borderId="34" xfId="0" applyNumberFormat="1" applyFont="1" applyBorder="1" applyAlignment="1">
      <alignment horizontal="center" wrapText="1"/>
    </xf>
    <xf numFmtId="3" fontId="15" fillId="0" borderId="34" xfId="0" applyNumberFormat="1" applyFont="1" applyBorder="1" applyAlignment="1">
      <alignment wrapText="1"/>
    </xf>
    <xf numFmtId="0" fontId="14" fillId="0" borderId="3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/>
    <xf numFmtId="164" fontId="3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left"/>
    </xf>
    <xf numFmtId="164" fontId="4" fillId="0" borderId="17" xfId="0" applyNumberFormat="1" applyFont="1" applyBorder="1" applyAlignment="1">
      <alignment horizontal="left"/>
    </xf>
    <xf numFmtId="10" fontId="4" fillId="0" borderId="37" xfId="0" applyNumberFormat="1" applyFont="1" applyFill="1" applyBorder="1" applyAlignment="1">
      <alignment horizontal="center"/>
    </xf>
    <xf numFmtId="0" fontId="0" fillId="0" borderId="13" xfId="0" applyBorder="1"/>
    <xf numFmtId="0" fontId="5" fillId="0" borderId="14" xfId="0" applyFont="1" applyBorder="1" applyAlignment="1">
      <alignment horizontal="left"/>
    </xf>
    <xf numFmtId="0" fontId="12" fillId="0" borderId="8" xfId="0" applyFont="1" applyBorder="1"/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7" xfId="0" applyFont="1" applyBorder="1" applyAlignment="1">
      <alignment horizontal="left"/>
    </xf>
    <xf numFmtId="0" fontId="12" fillId="0" borderId="9" xfId="0" applyFont="1" applyBorder="1" applyAlignment="1">
      <alignment horizontal="left" vertical="center" wrapText="1"/>
    </xf>
    <xf numFmtId="165" fontId="12" fillId="0" borderId="37" xfId="0" applyNumberFormat="1" applyFont="1" applyBorder="1"/>
    <xf numFmtId="164" fontId="3" fillId="0" borderId="9" xfId="0" applyNumberFormat="1" applyFont="1" applyFill="1" applyBorder="1" applyAlignment="1">
      <alignment horizontal="center"/>
    </xf>
    <xf numFmtId="0" fontId="3" fillId="0" borderId="59" xfId="0" applyFont="1" applyBorder="1"/>
    <xf numFmtId="165" fontId="3" fillId="0" borderId="4" xfId="0" applyNumberFormat="1" applyFont="1" applyBorder="1"/>
    <xf numFmtId="1" fontId="15" fillId="0" borderId="5" xfId="0" applyNumberFormat="1" applyFont="1" applyBorder="1"/>
    <xf numFmtId="0" fontId="15" fillId="0" borderId="59" xfId="0" applyFont="1" applyBorder="1"/>
    <xf numFmtId="165" fontId="15" fillId="0" borderId="4" xfId="0" applyNumberFormat="1" applyFont="1" applyBorder="1"/>
    <xf numFmtId="1" fontId="3" fillId="0" borderId="59" xfId="0" applyNumberFormat="1" applyFont="1" applyBorder="1"/>
    <xf numFmtId="165" fontId="15" fillId="0" borderId="28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165" fontId="3" fillId="0" borderId="5" xfId="2" applyNumberFormat="1" applyFont="1" applyBorder="1"/>
    <xf numFmtId="165" fontId="15" fillId="0" borderId="5" xfId="2" applyNumberFormat="1" applyFont="1" applyBorder="1"/>
    <xf numFmtId="1" fontId="15" fillId="0" borderId="28" xfId="0" applyNumberFormat="1" applyFont="1" applyBorder="1"/>
    <xf numFmtId="1" fontId="3" fillId="0" borderId="59" xfId="0" applyNumberFormat="1" applyFont="1" applyBorder="1" applyAlignment="1">
      <alignment horizontal="center"/>
    </xf>
    <xf numFmtId="165" fontId="3" fillId="0" borderId="59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28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65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5" fillId="0" borderId="66" xfId="0" applyFont="1" applyBorder="1" applyAlignment="1"/>
    <xf numFmtId="0" fontId="5" fillId="0" borderId="67" xfId="0" applyFont="1" applyBorder="1" applyAlignment="1"/>
    <xf numFmtId="0" fontId="6" fillId="0" borderId="9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9" xfId="0" applyFont="1" applyFill="1" applyBorder="1"/>
    <xf numFmtId="0" fontId="2" fillId="0" borderId="0" xfId="0" applyFont="1"/>
    <xf numFmtId="165" fontId="3" fillId="0" borderId="48" xfId="2" applyNumberFormat="1" applyFont="1" applyBorder="1" applyAlignment="1">
      <alignment horizontal="center"/>
    </xf>
    <xf numFmtId="165" fontId="15" fillId="0" borderId="27" xfId="2" applyNumberFormat="1" applyFont="1" applyBorder="1" applyAlignment="1">
      <alignment horizontal="center"/>
    </xf>
    <xf numFmtId="164" fontId="3" fillId="0" borderId="10" xfId="0" applyNumberFormat="1" applyFont="1" applyFill="1" applyBorder="1"/>
    <xf numFmtId="165" fontId="3" fillId="0" borderId="21" xfId="2" applyNumberFormat="1" applyFont="1" applyBorder="1" applyAlignment="1">
      <alignment horizontal="center"/>
    </xf>
    <xf numFmtId="10" fontId="3" fillId="0" borderId="30" xfId="0" applyNumberFormat="1" applyFont="1" applyBorder="1"/>
    <xf numFmtId="10" fontId="3" fillId="0" borderId="7" xfId="0" applyNumberFormat="1" applyFont="1" applyBorder="1"/>
    <xf numFmtId="10" fontId="3" fillId="0" borderId="65" xfId="0" applyNumberFormat="1" applyFont="1" applyBorder="1"/>
    <xf numFmtId="10" fontId="3" fillId="0" borderId="4" xfId="0" applyNumberFormat="1" applyFont="1" applyBorder="1"/>
    <xf numFmtId="10" fontId="15" fillId="0" borderId="7" xfId="0" applyNumberFormat="1" applyFont="1" applyBorder="1"/>
    <xf numFmtId="165" fontId="3" fillId="0" borderId="21" xfId="2" applyNumberFormat="1" applyFont="1" applyBorder="1"/>
    <xf numFmtId="165" fontId="3" fillId="0" borderId="59" xfId="2" applyNumberFormat="1" applyFont="1" applyBorder="1"/>
    <xf numFmtId="165" fontId="15" fillId="0" borderId="65" xfId="0" applyNumberFormat="1" applyFont="1" applyBorder="1" applyAlignment="1">
      <alignment wrapText="1"/>
    </xf>
    <xf numFmtId="1" fontId="0" fillId="0" borderId="0" xfId="0" applyNumberFormat="1"/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5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5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6" fontId="14" fillId="0" borderId="0" xfId="0" applyNumberFormat="1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5" fontId="14" fillId="0" borderId="0" xfId="0" applyNumberFormat="1" applyFont="1" applyAlignment="1">
      <alignment horizontal="left"/>
    </xf>
    <xf numFmtId="0" fontId="15" fillId="0" borderId="4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5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15" fontId="18" fillId="0" borderId="0" xfId="0" applyNumberFormat="1" applyFont="1" applyAlignment="1">
      <alignment horizontal="left"/>
    </xf>
    <xf numFmtId="0" fontId="15" fillId="0" borderId="40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66" fontId="18" fillId="0" borderId="0" xfId="0" applyNumberFormat="1" applyFont="1" applyAlignment="1">
      <alignment horizontal="left"/>
    </xf>
    <xf numFmtId="0" fontId="15" fillId="0" borderId="1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5" fillId="0" borderId="35" xfId="0" applyFont="1" applyBorder="1" applyAlignment="1">
      <alignment horizontal="left"/>
    </xf>
    <xf numFmtId="0" fontId="15" fillId="0" borderId="4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te 2" xfId="44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R8" sqref="R8"/>
    </sheetView>
  </sheetViews>
  <sheetFormatPr defaultRowHeight="12.75" x14ac:dyDescent="0.2"/>
  <cols>
    <col min="1" max="1" width="16" customWidth="1"/>
    <col min="2" max="2" width="8" customWidth="1"/>
    <col min="3" max="3" width="7.7109375" customWidth="1"/>
    <col min="4" max="4" width="8.42578125" customWidth="1"/>
    <col min="5" max="5" width="7.28515625" customWidth="1"/>
    <col min="6" max="6" width="6.28515625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6.5703125" customWidth="1"/>
    <col min="14" max="14" width="7" customWidth="1"/>
    <col min="15" max="15" width="7.7109375" customWidth="1"/>
    <col min="16" max="17" width="7.5703125" bestFit="1" customWidth="1"/>
    <col min="18" max="18" width="10.42578125" customWidth="1"/>
  </cols>
  <sheetData>
    <row r="1" spans="1:18" x14ac:dyDescent="0.2">
      <c r="A1" s="127" t="s">
        <v>98</v>
      </c>
      <c r="P1" s="344"/>
      <c r="Q1" s="344"/>
      <c r="R1" s="344"/>
    </row>
    <row r="2" spans="1:18" x14ac:dyDescent="0.2">
      <c r="A2" s="26"/>
      <c r="B2" s="29"/>
      <c r="C2" s="29"/>
      <c r="D2" s="45" t="s">
        <v>97</v>
      </c>
      <c r="E2" s="45"/>
      <c r="F2" s="45"/>
      <c r="G2" s="45"/>
      <c r="H2" s="45"/>
      <c r="I2" s="45"/>
      <c r="J2" s="45"/>
      <c r="K2" s="45"/>
      <c r="L2" s="45"/>
      <c r="M2" s="45"/>
      <c r="N2" s="29"/>
      <c r="O2" s="29"/>
      <c r="P2" s="29"/>
      <c r="Q2" s="29"/>
      <c r="R2" s="29"/>
    </row>
    <row r="3" spans="1:18" x14ac:dyDescent="0.2">
      <c r="A3" s="29"/>
      <c r="B3" s="29"/>
      <c r="C3" s="29"/>
      <c r="D3" s="180" t="s">
        <v>119</v>
      </c>
      <c r="E3" s="45"/>
      <c r="F3" s="45"/>
      <c r="G3" s="45"/>
      <c r="H3" s="45"/>
      <c r="I3" s="45"/>
      <c r="J3" s="45"/>
      <c r="K3" s="45"/>
      <c r="L3" s="45"/>
      <c r="M3" s="45"/>
      <c r="N3" s="29"/>
      <c r="O3" s="29"/>
      <c r="P3" s="29"/>
      <c r="Q3" s="29"/>
      <c r="R3" s="29"/>
    </row>
    <row r="4" spans="1:18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348" t="s">
        <v>0</v>
      </c>
      <c r="B5" s="343" t="s">
        <v>8</v>
      </c>
      <c r="C5" s="343"/>
      <c r="D5" s="343"/>
      <c r="E5" s="343"/>
      <c r="F5" s="343"/>
      <c r="G5" s="343"/>
      <c r="H5" s="343"/>
      <c r="I5" s="343" t="s">
        <v>9</v>
      </c>
      <c r="J5" s="343"/>
      <c r="K5" s="343"/>
      <c r="L5" s="343"/>
      <c r="M5" s="343"/>
      <c r="N5" s="343"/>
      <c r="O5" s="343"/>
      <c r="P5" s="350" t="s">
        <v>142</v>
      </c>
      <c r="Q5" s="351"/>
      <c r="R5" s="346" t="s">
        <v>141</v>
      </c>
    </row>
    <row r="6" spans="1:18" ht="18" customHeight="1" x14ac:dyDescent="0.2">
      <c r="A6" s="349"/>
      <c r="B6" s="184" t="s">
        <v>1</v>
      </c>
      <c r="C6" s="184" t="s">
        <v>2</v>
      </c>
      <c r="D6" s="184" t="s">
        <v>3</v>
      </c>
      <c r="E6" s="184" t="s">
        <v>4</v>
      </c>
      <c r="F6" s="184" t="s">
        <v>5</v>
      </c>
      <c r="G6" s="184" t="s">
        <v>6</v>
      </c>
      <c r="H6" s="184" t="s">
        <v>10</v>
      </c>
      <c r="I6" s="185" t="s">
        <v>1</v>
      </c>
      <c r="J6" s="185" t="s">
        <v>2</v>
      </c>
      <c r="K6" s="185" t="s">
        <v>3</v>
      </c>
      <c r="L6" s="185" t="s">
        <v>4</v>
      </c>
      <c r="M6" s="185" t="s">
        <v>5</v>
      </c>
      <c r="N6" s="185" t="s">
        <v>6</v>
      </c>
      <c r="O6" s="185" t="s">
        <v>10</v>
      </c>
      <c r="P6" s="185">
        <v>2015</v>
      </c>
      <c r="Q6" s="185">
        <v>2014</v>
      </c>
      <c r="R6" s="347"/>
    </row>
    <row r="7" spans="1:18" ht="15.95" customHeight="1" x14ac:dyDescent="0.2">
      <c r="A7" s="16" t="s">
        <v>20</v>
      </c>
      <c r="B7" s="27">
        <v>3203</v>
      </c>
      <c r="C7" s="27">
        <v>2225</v>
      </c>
      <c r="D7" s="27">
        <v>3759</v>
      </c>
      <c r="E7" s="27">
        <v>3380</v>
      </c>
      <c r="F7" s="27">
        <v>2799</v>
      </c>
      <c r="G7" s="27">
        <f t="shared" ref="G7:G12" si="0">SUM(B7:F7)</f>
        <v>15366</v>
      </c>
      <c r="H7" s="186">
        <f t="shared" ref="H7:H12" si="1">+G7/P7</f>
        <v>0.49193238570879755</v>
      </c>
      <c r="I7" s="27">
        <v>2824</v>
      </c>
      <c r="J7" s="27">
        <v>2129</v>
      </c>
      <c r="K7" s="27">
        <v>4621</v>
      </c>
      <c r="L7" s="27">
        <v>3015</v>
      </c>
      <c r="M7" s="27">
        <v>3281</v>
      </c>
      <c r="N7" s="27">
        <f t="shared" ref="N7:N12" si="2">SUM(I7:M7)</f>
        <v>15870</v>
      </c>
      <c r="O7" s="186">
        <f t="shared" ref="O7:O12" si="3">+N7/P7</f>
        <v>0.50806761429120251</v>
      </c>
      <c r="P7" s="27">
        <f t="shared" ref="P7:P12" si="4">+G7+N7</f>
        <v>31236</v>
      </c>
      <c r="Q7" s="27">
        <v>38333</v>
      </c>
      <c r="R7" s="172">
        <f t="shared" ref="R7:R12" si="5">+(P7/Q7)-1</f>
        <v>-0.18514074035426398</v>
      </c>
    </row>
    <row r="8" spans="1:18" ht="15.95" customHeight="1" x14ac:dyDescent="0.2">
      <c r="A8" s="16" t="s">
        <v>21</v>
      </c>
      <c r="B8" s="27">
        <v>3247</v>
      </c>
      <c r="C8" s="27">
        <v>2205</v>
      </c>
      <c r="D8" s="27">
        <v>3692</v>
      </c>
      <c r="E8" s="27">
        <v>3413</v>
      </c>
      <c r="F8" s="27">
        <v>2740</v>
      </c>
      <c r="G8" s="27">
        <f t="shared" si="0"/>
        <v>15297</v>
      </c>
      <c r="H8" s="186">
        <f t="shared" si="1"/>
        <v>0.49504854368932039</v>
      </c>
      <c r="I8" s="27">
        <v>2695</v>
      </c>
      <c r="J8" s="27">
        <v>2041</v>
      </c>
      <c r="K8" s="27">
        <v>4609</v>
      </c>
      <c r="L8" s="27">
        <v>2956</v>
      </c>
      <c r="M8" s="27">
        <v>3302</v>
      </c>
      <c r="N8" s="27">
        <f t="shared" si="2"/>
        <v>15603</v>
      </c>
      <c r="O8" s="186">
        <f t="shared" si="3"/>
        <v>0.50495145631067961</v>
      </c>
      <c r="P8" s="27">
        <f t="shared" si="4"/>
        <v>30900</v>
      </c>
      <c r="Q8" s="27">
        <v>36901</v>
      </c>
      <c r="R8" s="172">
        <f t="shared" si="5"/>
        <v>-0.16262431912414299</v>
      </c>
    </row>
    <row r="9" spans="1:18" ht="15.95" customHeight="1" x14ac:dyDescent="0.2">
      <c r="A9" s="16" t="s">
        <v>22</v>
      </c>
      <c r="B9" s="27">
        <v>3322</v>
      </c>
      <c r="C9" s="27">
        <v>2181</v>
      </c>
      <c r="D9" s="27">
        <v>3599</v>
      </c>
      <c r="E9" s="27">
        <v>3357</v>
      </c>
      <c r="F9" s="27">
        <v>2573</v>
      </c>
      <c r="G9" s="27">
        <f t="shared" si="0"/>
        <v>15032</v>
      </c>
      <c r="H9" s="186">
        <f t="shared" si="1"/>
        <v>0.49587649270963913</v>
      </c>
      <c r="I9" s="27">
        <v>2784</v>
      </c>
      <c r="J9" s="27">
        <v>2009</v>
      </c>
      <c r="K9" s="27">
        <v>4544</v>
      </c>
      <c r="L9" s="27">
        <v>2917</v>
      </c>
      <c r="M9" s="27">
        <v>3028</v>
      </c>
      <c r="N9" s="27">
        <f t="shared" si="2"/>
        <v>15282</v>
      </c>
      <c r="O9" s="186">
        <f t="shared" si="3"/>
        <v>0.50412350729036093</v>
      </c>
      <c r="P9" s="27">
        <f t="shared" si="4"/>
        <v>30314</v>
      </c>
      <c r="Q9" s="27">
        <v>35016</v>
      </c>
      <c r="R9" s="172">
        <f t="shared" si="5"/>
        <v>-0.13428147132739321</v>
      </c>
    </row>
    <row r="10" spans="1:18" ht="15.95" customHeight="1" x14ac:dyDescent="0.2">
      <c r="A10" s="16" t="s">
        <v>23</v>
      </c>
      <c r="B10" s="27">
        <v>3099</v>
      </c>
      <c r="C10" s="27">
        <v>1796</v>
      </c>
      <c r="D10" s="27">
        <v>2156</v>
      </c>
      <c r="E10" s="27">
        <v>2963</v>
      </c>
      <c r="F10" s="27">
        <v>1667</v>
      </c>
      <c r="G10" s="27">
        <f t="shared" si="0"/>
        <v>11681</v>
      </c>
      <c r="H10" s="186">
        <f t="shared" si="1"/>
        <v>0.50813467896293718</v>
      </c>
      <c r="I10" s="27">
        <v>2719</v>
      </c>
      <c r="J10" s="27">
        <v>1613</v>
      </c>
      <c r="K10" s="27">
        <v>2781</v>
      </c>
      <c r="L10" s="27">
        <v>2576</v>
      </c>
      <c r="M10" s="27">
        <v>1618</v>
      </c>
      <c r="N10" s="27">
        <f t="shared" si="2"/>
        <v>11307</v>
      </c>
      <c r="O10" s="186">
        <f t="shared" si="3"/>
        <v>0.49186532103706282</v>
      </c>
      <c r="P10" s="27">
        <f t="shared" si="4"/>
        <v>22988</v>
      </c>
      <c r="Q10" s="27">
        <v>28218</v>
      </c>
      <c r="R10" s="172">
        <f t="shared" si="5"/>
        <v>-0.1853426890637182</v>
      </c>
    </row>
    <row r="11" spans="1:18" ht="15.95" customHeight="1" x14ac:dyDescent="0.2">
      <c r="A11" s="16" t="s">
        <v>24</v>
      </c>
      <c r="B11" s="27">
        <v>2792</v>
      </c>
      <c r="C11" s="27">
        <v>1433</v>
      </c>
      <c r="D11" s="27">
        <f>883+1</f>
        <v>884</v>
      </c>
      <c r="E11" s="27">
        <v>2600</v>
      </c>
      <c r="F11" s="27">
        <v>1134</v>
      </c>
      <c r="G11" s="27">
        <f t="shared" si="0"/>
        <v>8843</v>
      </c>
      <c r="H11" s="186">
        <f t="shared" si="1"/>
        <v>0.50138912513466005</v>
      </c>
      <c r="I11" s="27">
        <v>2707</v>
      </c>
      <c r="J11" s="27">
        <v>1308</v>
      </c>
      <c r="K11" s="27">
        <v>1082</v>
      </c>
      <c r="L11" s="27">
        <v>2523</v>
      </c>
      <c r="M11" s="27">
        <v>1174</v>
      </c>
      <c r="N11" s="27">
        <f t="shared" si="2"/>
        <v>8794</v>
      </c>
      <c r="O11" s="186">
        <f t="shared" si="3"/>
        <v>0.49861087486533989</v>
      </c>
      <c r="P11" s="187">
        <f t="shared" si="4"/>
        <v>17637</v>
      </c>
      <c r="Q11" s="27">
        <v>23335</v>
      </c>
      <c r="R11" s="172">
        <f t="shared" si="5"/>
        <v>-0.24418255838868652</v>
      </c>
    </row>
    <row r="12" spans="1:18" ht="15.95" customHeight="1" thickBot="1" x14ac:dyDescent="0.25">
      <c r="A12" s="80" t="s">
        <v>25</v>
      </c>
      <c r="B12" s="20">
        <v>2775</v>
      </c>
      <c r="C12" s="20">
        <v>1290</v>
      </c>
      <c r="D12" s="20">
        <v>564</v>
      </c>
      <c r="E12" s="20">
        <v>2575</v>
      </c>
      <c r="F12" s="20">
        <v>987</v>
      </c>
      <c r="G12" s="27">
        <f t="shared" si="0"/>
        <v>8191</v>
      </c>
      <c r="H12" s="186">
        <f t="shared" si="1"/>
        <v>0.4590853043380787</v>
      </c>
      <c r="I12" s="20">
        <v>3352</v>
      </c>
      <c r="J12" s="20">
        <v>1533</v>
      </c>
      <c r="K12" s="20">
        <f>591+1</f>
        <v>592</v>
      </c>
      <c r="L12" s="20">
        <v>3112</v>
      </c>
      <c r="M12" s="20">
        <v>1062</v>
      </c>
      <c r="N12" s="27">
        <f t="shared" si="2"/>
        <v>9651</v>
      </c>
      <c r="O12" s="186">
        <f t="shared" si="3"/>
        <v>0.5409146956619213</v>
      </c>
      <c r="P12" s="187">
        <f t="shared" si="4"/>
        <v>17842</v>
      </c>
      <c r="Q12" s="20">
        <v>22958</v>
      </c>
      <c r="R12" s="172">
        <f t="shared" si="5"/>
        <v>-0.22284171095043126</v>
      </c>
    </row>
    <row r="13" spans="1:18" ht="15.95" customHeight="1" x14ac:dyDescent="0.2">
      <c r="A13" s="345" t="s">
        <v>45</v>
      </c>
      <c r="B13" s="307"/>
      <c r="C13" s="307"/>
      <c r="D13" s="307"/>
      <c r="E13" s="307"/>
      <c r="F13" s="307"/>
      <c r="G13" s="307"/>
      <c r="H13" s="308"/>
      <c r="I13" s="307"/>
      <c r="J13" s="307"/>
      <c r="K13" s="307"/>
      <c r="L13" s="307"/>
      <c r="M13" s="307"/>
      <c r="N13" s="307"/>
      <c r="O13" s="308"/>
      <c r="P13" s="307"/>
      <c r="Q13" s="307"/>
      <c r="R13" s="309"/>
    </row>
    <row r="14" spans="1:18" ht="19.5" customHeight="1" thickBot="1" x14ac:dyDescent="0.25">
      <c r="A14" s="342"/>
      <c r="B14" s="310">
        <f t="shared" ref="B14:G14" si="6">AVERAGE(B7:B12)</f>
        <v>3073</v>
      </c>
      <c r="C14" s="310">
        <f t="shared" si="6"/>
        <v>1855</v>
      </c>
      <c r="D14" s="310">
        <f t="shared" si="6"/>
        <v>2442.3333333333335</v>
      </c>
      <c r="E14" s="310">
        <f t="shared" si="6"/>
        <v>3048</v>
      </c>
      <c r="F14" s="310">
        <f t="shared" si="6"/>
        <v>1983.3333333333333</v>
      </c>
      <c r="G14" s="310">
        <f t="shared" si="6"/>
        <v>12401.666666666666</v>
      </c>
      <c r="H14" s="311">
        <f t="shared" ref="H14:H22" si="7">+G14/P14</f>
        <v>0.49305247255113738</v>
      </c>
      <c r="I14" s="310">
        <f t="shared" ref="I14:N14" si="8">AVERAGE(I7:I12)</f>
        <v>2846.8333333333335</v>
      </c>
      <c r="J14" s="310">
        <f t="shared" si="8"/>
        <v>1772.1666666666667</v>
      </c>
      <c r="K14" s="310">
        <f t="shared" si="8"/>
        <v>3038.1666666666665</v>
      </c>
      <c r="L14" s="310">
        <f t="shared" si="8"/>
        <v>2849.8333333333335</v>
      </c>
      <c r="M14" s="310">
        <f t="shared" si="8"/>
        <v>2244.1666666666665</v>
      </c>
      <c r="N14" s="310">
        <f t="shared" si="8"/>
        <v>12751.166666666666</v>
      </c>
      <c r="O14" s="311">
        <f t="shared" ref="O14:O22" si="9">+N14/P14</f>
        <v>0.50694752744886262</v>
      </c>
      <c r="P14" s="310">
        <f>AVERAGE(P7:P12)</f>
        <v>25152.833333333332</v>
      </c>
      <c r="Q14" s="310">
        <f>AVERAGE(Q7:Q12)</f>
        <v>30793.5</v>
      </c>
      <c r="R14" s="312">
        <f>+(P14/Q14)-1</f>
        <v>-0.18317718566147623</v>
      </c>
    </row>
    <row r="15" spans="1:18" ht="15.95" customHeight="1" x14ac:dyDescent="0.2">
      <c r="A15" s="79" t="s">
        <v>26</v>
      </c>
      <c r="B15" s="28">
        <v>2714</v>
      </c>
      <c r="C15" s="28">
        <v>1183</v>
      </c>
      <c r="D15" s="28">
        <v>507</v>
      </c>
      <c r="E15" s="28">
        <v>2523</v>
      </c>
      <c r="F15" s="28">
        <v>822</v>
      </c>
      <c r="G15" s="28">
        <f t="shared" ref="G15:G20" si="10">SUM(B15:F15)</f>
        <v>7749</v>
      </c>
      <c r="H15" s="190">
        <f t="shared" si="7"/>
        <v>0.42453295348709802</v>
      </c>
      <c r="I15" s="28">
        <v>3859</v>
      </c>
      <c r="J15" s="28">
        <v>1605</v>
      </c>
      <c r="K15" s="28">
        <v>579</v>
      </c>
      <c r="L15" s="28">
        <v>3439</v>
      </c>
      <c r="M15" s="28">
        <v>1022</v>
      </c>
      <c r="N15" s="27">
        <f t="shared" ref="N15:N20" si="11">SUM(I15:M15)</f>
        <v>10504</v>
      </c>
      <c r="O15" s="190">
        <f t="shared" si="9"/>
        <v>0.57546704651290204</v>
      </c>
      <c r="P15" s="28">
        <f t="shared" ref="P15:P20" si="12">+G15+N15</f>
        <v>18253</v>
      </c>
      <c r="Q15" s="28">
        <v>22590</v>
      </c>
      <c r="R15" s="191">
        <f t="shared" ref="R15:R22" si="13">+(P15/Q15)-1</f>
        <v>-0.19198760513501545</v>
      </c>
    </row>
    <row r="16" spans="1:18" ht="15.95" customHeight="1" x14ac:dyDescent="0.2">
      <c r="A16" s="16" t="s">
        <v>7</v>
      </c>
      <c r="B16" s="27">
        <v>2602</v>
      </c>
      <c r="C16" s="27">
        <v>1119</v>
      </c>
      <c r="D16" s="27">
        <v>462</v>
      </c>
      <c r="E16" s="27">
        <v>2408</v>
      </c>
      <c r="F16" s="27">
        <v>752</v>
      </c>
      <c r="G16" s="28">
        <f t="shared" si="10"/>
        <v>7343</v>
      </c>
      <c r="H16" s="190">
        <f t="shared" si="7"/>
        <v>0.41348048876625937</v>
      </c>
      <c r="I16" s="27">
        <v>3845</v>
      </c>
      <c r="J16" s="27">
        <v>1570</v>
      </c>
      <c r="K16" s="27">
        <v>554</v>
      </c>
      <c r="L16" s="27">
        <v>3464</v>
      </c>
      <c r="M16" s="27">
        <v>983</v>
      </c>
      <c r="N16" s="27">
        <f t="shared" si="11"/>
        <v>10416</v>
      </c>
      <c r="O16" s="190">
        <f t="shared" si="9"/>
        <v>0.58651951123374069</v>
      </c>
      <c r="P16" s="28">
        <f t="shared" si="12"/>
        <v>17759</v>
      </c>
      <c r="Q16" s="27">
        <v>21432</v>
      </c>
      <c r="R16" s="191">
        <f t="shared" si="13"/>
        <v>-0.17137924598730869</v>
      </c>
    </row>
    <row r="17" spans="1:18" ht="15.95" customHeight="1" x14ac:dyDescent="0.2">
      <c r="A17" s="16" t="s">
        <v>27</v>
      </c>
      <c r="B17" s="27">
        <v>2527</v>
      </c>
      <c r="C17" s="27">
        <v>1111</v>
      </c>
      <c r="D17" s="27">
        <v>457</v>
      </c>
      <c r="E17" s="27">
        <v>2313</v>
      </c>
      <c r="F17" s="27">
        <v>736</v>
      </c>
      <c r="G17" s="28">
        <f t="shared" si="10"/>
        <v>7144</v>
      </c>
      <c r="H17" s="190">
        <f t="shared" si="7"/>
        <v>0.44284651624101168</v>
      </c>
      <c r="I17" s="27">
        <v>3275</v>
      </c>
      <c r="J17" s="27">
        <v>1380</v>
      </c>
      <c r="K17" s="27">
        <f>481+1</f>
        <v>482</v>
      </c>
      <c r="L17" s="27">
        <v>2979</v>
      </c>
      <c r="M17" s="27">
        <v>872</v>
      </c>
      <c r="N17" s="27">
        <f t="shared" si="11"/>
        <v>8988</v>
      </c>
      <c r="O17" s="190">
        <f t="shared" si="9"/>
        <v>0.55715348375898832</v>
      </c>
      <c r="P17" s="28">
        <f t="shared" si="12"/>
        <v>16132</v>
      </c>
      <c r="Q17" s="27">
        <v>21500</v>
      </c>
      <c r="R17" s="191">
        <f t="shared" si="13"/>
        <v>-0.24967441860465112</v>
      </c>
    </row>
    <row r="18" spans="1:18" ht="15.95" customHeight="1" x14ac:dyDescent="0.2">
      <c r="A18" s="16" t="s">
        <v>28</v>
      </c>
      <c r="B18" s="27">
        <v>2257</v>
      </c>
      <c r="C18" s="27">
        <v>1051</v>
      </c>
      <c r="D18" s="27">
        <v>534</v>
      </c>
      <c r="E18" s="27">
        <v>2177</v>
      </c>
      <c r="F18" s="27">
        <v>744</v>
      </c>
      <c r="G18" s="28">
        <f t="shared" si="10"/>
        <v>6763</v>
      </c>
      <c r="H18" s="190">
        <f t="shared" si="7"/>
        <v>0.47855929804698555</v>
      </c>
      <c r="I18" s="27">
        <v>2532</v>
      </c>
      <c r="J18" s="27">
        <v>1114</v>
      </c>
      <c r="K18" s="27">
        <v>552</v>
      </c>
      <c r="L18" s="27">
        <v>2413</v>
      </c>
      <c r="M18" s="27">
        <v>758</v>
      </c>
      <c r="N18" s="27">
        <f t="shared" si="11"/>
        <v>7369</v>
      </c>
      <c r="O18" s="190">
        <f t="shared" si="9"/>
        <v>0.5214407019530144</v>
      </c>
      <c r="P18" s="28">
        <f t="shared" si="12"/>
        <v>14132</v>
      </c>
      <c r="Q18" s="27">
        <v>17937</v>
      </c>
      <c r="R18" s="191">
        <f t="shared" si="13"/>
        <v>-0.2121313486090205</v>
      </c>
    </row>
    <row r="19" spans="1:18" ht="15.95" customHeight="1" x14ac:dyDescent="0.2">
      <c r="A19" s="16" t="s">
        <v>29</v>
      </c>
      <c r="B19" s="27">
        <v>2349</v>
      </c>
      <c r="C19" s="27">
        <v>1556</v>
      </c>
      <c r="D19" s="27">
        <v>3013</v>
      </c>
      <c r="E19" s="27">
        <v>2384</v>
      </c>
      <c r="F19" s="27">
        <v>1500</v>
      </c>
      <c r="G19" s="27">
        <f t="shared" si="10"/>
        <v>10802</v>
      </c>
      <c r="H19" s="190">
        <f t="shared" si="7"/>
        <v>0.46532265012492463</v>
      </c>
      <c r="I19" s="27">
        <v>2440</v>
      </c>
      <c r="J19" s="27">
        <v>1627</v>
      </c>
      <c r="K19" s="27">
        <v>3848</v>
      </c>
      <c r="L19" s="27">
        <v>2560</v>
      </c>
      <c r="M19" s="27">
        <v>1937</v>
      </c>
      <c r="N19" s="27">
        <f t="shared" si="11"/>
        <v>12412</v>
      </c>
      <c r="O19" s="186">
        <f t="shared" si="9"/>
        <v>0.53467734987507542</v>
      </c>
      <c r="P19" s="27">
        <f t="shared" si="12"/>
        <v>23214</v>
      </c>
      <c r="Q19" s="27">
        <v>25814</v>
      </c>
      <c r="R19" s="172">
        <f t="shared" si="13"/>
        <v>-0.10072053924227165</v>
      </c>
    </row>
    <row r="20" spans="1:18" ht="15.95" customHeight="1" thickBot="1" x14ac:dyDescent="0.25">
      <c r="A20" s="80" t="s">
        <v>30</v>
      </c>
      <c r="B20" s="20">
        <v>2433</v>
      </c>
      <c r="C20" s="20">
        <v>1834</v>
      </c>
      <c r="D20" s="20">
        <v>3468</v>
      </c>
      <c r="E20" s="20">
        <v>2612</v>
      </c>
      <c r="F20" s="20">
        <v>2343</v>
      </c>
      <c r="G20" s="20">
        <f t="shared" si="10"/>
        <v>12690</v>
      </c>
      <c r="H20" s="331">
        <f t="shared" si="7"/>
        <v>0.47099432134506181</v>
      </c>
      <c r="I20" s="20">
        <v>2344</v>
      </c>
      <c r="J20" s="20">
        <v>1898</v>
      </c>
      <c r="K20" s="20">
        <v>4537</v>
      </c>
      <c r="L20" s="20">
        <v>2612</v>
      </c>
      <c r="M20" s="20">
        <v>2862</v>
      </c>
      <c r="N20" s="20">
        <f t="shared" si="11"/>
        <v>14253</v>
      </c>
      <c r="O20" s="188">
        <f t="shared" si="9"/>
        <v>0.52900567865493819</v>
      </c>
      <c r="P20" s="20">
        <f t="shared" si="12"/>
        <v>26943</v>
      </c>
      <c r="Q20" s="192">
        <v>29637</v>
      </c>
      <c r="R20" s="189">
        <f t="shared" si="13"/>
        <v>-9.0899888652697602E-2</v>
      </c>
    </row>
    <row r="21" spans="1:18" ht="15.95" customHeight="1" x14ac:dyDescent="0.2">
      <c r="A21" s="345" t="s">
        <v>43</v>
      </c>
      <c r="B21" s="317"/>
      <c r="C21" s="317"/>
      <c r="D21" s="317"/>
      <c r="E21" s="317"/>
      <c r="F21" s="317"/>
      <c r="G21" s="317"/>
      <c r="H21" s="308"/>
      <c r="I21" s="317"/>
      <c r="J21" s="317"/>
      <c r="K21" s="317"/>
      <c r="L21" s="317"/>
      <c r="M21" s="317"/>
      <c r="N21" s="317"/>
      <c r="O21" s="308"/>
      <c r="P21" s="317"/>
      <c r="Q21" s="317"/>
      <c r="R21" s="309"/>
    </row>
    <row r="22" spans="1:18" ht="21.75" customHeight="1" thickBot="1" x14ac:dyDescent="0.25">
      <c r="A22" s="342"/>
      <c r="B22" s="318">
        <f t="shared" ref="B22:Q22" si="14">AVERAGE(B15:B20)</f>
        <v>2480.3333333333335</v>
      </c>
      <c r="C22" s="318">
        <f t="shared" si="14"/>
        <v>1309</v>
      </c>
      <c r="D22" s="318">
        <f t="shared" si="14"/>
        <v>1406.8333333333333</v>
      </c>
      <c r="E22" s="318">
        <f t="shared" si="14"/>
        <v>2402.8333333333335</v>
      </c>
      <c r="F22" s="318">
        <f t="shared" si="14"/>
        <v>1149.5</v>
      </c>
      <c r="G22" s="318">
        <f t="shared" si="14"/>
        <v>8748.5</v>
      </c>
      <c r="H22" s="319">
        <f t="shared" si="7"/>
        <v>0.4508257968101827</v>
      </c>
      <c r="I22" s="318">
        <f t="shared" si="14"/>
        <v>3049.1666666666665</v>
      </c>
      <c r="J22" s="318">
        <f t="shared" si="14"/>
        <v>1532.3333333333333</v>
      </c>
      <c r="K22" s="318">
        <f t="shared" si="14"/>
        <v>1758.6666666666667</v>
      </c>
      <c r="L22" s="318">
        <f t="shared" si="14"/>
        <v>2911.1666666666665</v>
      </c>
      <c r="M22" s="318">
        <f t="shared" si="14"/>
        <v>1405.6666666666667</v>
      </c>
      <c r="N22" s="318">
        <f t="shared" si="14"/>
        <v>10657</v>
      </c>
      <c r="O22" s="319">
        <f t="shared" si="9"/>
        <v>0.54917420318981736</v>
      </c>
      <c r="P22" s="318">
        <f t="shared" si="14"/>
        <v>19405.5</v>
      </c>
      <c r="Q22" s="318">
        <f t="shared" si="14"/>
        <v>23151.666666666668</v>
      </c>
      <c r="R22" s="320">
        <f t="shared" si="13"/>
        <v>-0.1618098049096538</v>
      </c>
    </row>
    <row r="23" spans="1:18" ht="15.95" customHeight="1" x14ac:dyDescent="0.2">
      <c r="A23" s="341" t="s">
        <v>48</v>
      </c>
      <c r="B23" s="313"/>
      <c r="C23" s="313"/>
      <c r="D23" s="313"/>
      <c r="E23" s="313"/>
      <c r="F23" s="313"/>
      <c r="G23" s="313"/>
      <c r="H23" s="313"/>
      <c r="I23" s="314"/>
      <c r="J23" s="314"/>
      <c r="K23" s="314"/>
      <c r="L23" s="314"/>
      <c r="M23" s="314"/>
      <c r="N23" s="314"/>
      <c r="O23" s="315"/>
      <c r="P23" s="314"/>
      <c r="Q23" s="314"/>
      <c r="R23" s="316"/>
    </row>
    <row r="24" spans="1:18" ht="18.75" customHeight="1" thickBot="1" x14ac:dyDescent="0.25">
      <c r="A24" s="342"/>
      <c r="B24" s="310">
        <f t="shared" ref="B24:G24" si="15">AVERAGE(B7:B12,B15:B20)</f>
        <v>2776.6666666666665</v>
      </c>
      <c r="C24" s="310">
        <f t="shared" si="15"/>
        <v>1582</v>
      </c>
      <c r="D24" s="310">
        <f t="shared" si="15"/>
        <v>1924.5833333333333</v>
      </c>
      <c r="E24" s="310">
        <f>AVERAGE(E7:E12,E15:E20)</f>
        <v>2725.4166666666665</v>
      </c>
      <c r="F24" s="310">
        <f t="shared" si="15"/>
        <v>1566.4166666666667</v>
      </c>
      <c r="G24" s="310">
        <f t="shared" si="15"/>
        <v>10575.083333333334</v>
      </c>
      <c r="H24" s="311">
        <f>G24/P24</f>
        <v>0.47466242752945575</v>
      </c>
      <c r="I24" s="310">
        <f t="shared" ref="I24:N24" si="16">AVERAGE(I7:I12,I15:I20)</f>
        <v>2948</v>
      </c>
      <c r="J24" s="310">
        <f t="shared" si="16"/>
        <v>1652.25</v>
      </c>
      <c r="K24" s="310">
        <f t="shared" si="16"/>
        <v>2398.4166666666665</v>
      </c>
      <c r="L24" s="310">
        <f t="shared" si="16"/>
        <v>2880.5</v>
      </c>
      <c r="M24" s="310">
        <f t="shared" si="16"/>
        <v>1824.9166666666667</v>
      </c>
      <c r="N24" s="310">
        <f t="shared" si="16"/>
        <v>11704.083333333334</v>
      </c>
      <c r="O24" s="311">
        <f>N24/P24</f>
        <v>0.52533757247054425</v>
      </c>
      <c r="P24" s="310">
        <f>AVERAGE(P7:P12,P15:P20)</f>
        <v>22279.166666666668</v>
      </c>
      <c r="Q24" s="310">
        <f>AVERAGE(Q7:Q12,Q15:Q20)</f>
        <v>26972.583333333332</v>
      </c>
      <c r="R24" s="312">
        <f>(P24/Q24)-1</f>
        <v>-0.17400693914499588</v>
      </c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23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6"/>
      <c r="O26" s="1"/>
      <c r="P26" s="1"/>
      <c r="Q26" s="1"/>
      <c r="R26" s="1"/>
    </row>
    <row r="27" spans="1:18" x14ac:dyDescent="0.2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26" t="s">
        <v>32</v>
      </c>
      <c r="O27" s="36"/>
      <c r="P27" s="36"/>
      <c r="Q27" s="36"/>
      <c r="R27" s="26"/>
    </row>
    <row r="28" spans="1:18" x14ac:dyDescent="0.2">
      <c r="A28" s="32">
        <v>42419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6" t="s">
        <v>11</v>
      </c>
      <c r="O28" s="36"/>
      <c r="P28" s="36"/>
      <c r="Q28" s="36"/>
      <c r="R28" s="26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N30" s="1"/>
      <c r="O30" s="1"/>
      <c r="P30" s="1"/>
      <c r="Q30" s="1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5" sqref="B35"/>
    </sheetView>
  </sheetViews>
  <sheetFormatPr defaultRowHeight="12.75" x14ac:dyDescent="0.2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</cols>
  <sheetData>
    <row r="1" spans="1:8" x14ac:dyDescent="0.2">
      <c r="A1" s="126" t="s">
        <v>110</v>
      </c>
    </row>
    <row r="2" spans="1:8" ht="6.75" customHeight="1" x14ac:dyDescent="0.2">
      <c r="A2" s="33"/>
    </row>
    <row r="3" spans="1:8" ht="27.75" customHeight="1" x14ac:dyDescent="0.2">
      <c r="A3" s="402" t="s">
        <v>138</v>
      </c>
      <c r="B3" s="402"/>
      <c r="C3" s="402"/>
      <c r="D3" s="402"/>
      <c r="E3" s="402"/>
      <c r="F3" s="402"/>
      <c r="G3" s="402"/>
      <c r="H3" s="402"/>
    </row>
    <row r="4" spans="1:8" ht="12" customHeight="1" thickBot="1" x14ac:dyDescent="0.3">
      <c r="A4" s="401"/>
      <c r="B4" s="401"/>
      <c r="C4" s="401"/>
      <c r="D4" s="401"/>
    </row>
    <row r="5" spans="1:8" x14ac:dyDescent="0.2">
      <c r="A5" s="146"/>
      <c r="B5" s="137"/>
      <c r="C5" s="414" t="s">
        <v>62</v>
      </c>
      <c r="D5" s="404"/>
      <c r="E5" s="404"/>
      <c r="F5" s="404"/>
      <c r="G5" s="404"/>
      <c r="H5" s="405"/>
    </row>
    <row r="6" spans="1:8" x14ac:dyDescent="0.2">
      <c r="A6" s="147" t="s">
        <v>63</v>
      </c>
      <c r="B6" s="138" t="s">
        <v>64</v>
      </c>
      <c r="C6" s="415" t="s">
        <v>65</v>
      </c>
      <c r="D6" s="407"/>
      <c r="E6" s="408" t="s">
        <v>66</v>
      </c>
      <c r="F6" s="408"/>
      <c r="G6" s="403" t="s">
        <v>6</v>
      </c>
      <c r="H6" s="412" t="s">
        <v>116</v>
      </c>
    </row>
    <row r="7" spans="1:8" ht="24.75" customHeight="1" thickBot="1" x14ac:dyDescent="0.25">
      <c r="A7" s="139"/>
      <c r="B7" s="139"/>
      <c r="C7" s="154" t="s">
        <v>67</v>
      </c>
      <c r="D7" s="108" t="s">
        <v>68</v>
      </c>
      <c r="E7" s="108" t="s">
        <v>68</v>
      </c>
      <c r="F7" s="108" t="s">
        <v>69</v>
      </c>
      <c r="G7" s="416"/>
      <c r="H7" s="413"/>
    </row>
    <row r="8" spans="1:8" ht="15" customHeight="1" x14ac:dyDescent="0.2">
      <c r="A8" s="148">
        <v>1</v>
      </c>
      <c r="B8" s="140" t="s">
        <v>70</v>
      </c>
      <c r="C8" s="131">
        <v>0</v>
      </c>
      <c r="D8" s="83">
        <v>0</v>
      </c>
      <c r="E8" s="95">
        <v>2</v>
      </c>
      <c r="F8" s="95">
        <v>152</v>
      </c>
      <c r="G8" s="66">
        <f>SUM(C8+D8+E8+F8)</f>
        <v>154</v>
      </c>
      <c r="H8" s="173">
        <f>G8/G31</f>
        <v>6.6991473812423874E-3</v>
      </c>
    </row>
    <row r="9" spans="1:8" ht="15" customHeight="1" x14ac:dyDescent="0.2">
      <c r="A9" s="149">
        <v>2</v>
      </c>
      <c r="B9" s="141" t="s">
        <v>71</v>
      </c>
      <c r="C9" s="132">
        <v>0</v>
      </c>
      <c r="D9" s="64">
        <v>0</v>
      </c>
      <c r="E9" s="65">
        <v>0</v>
      </c>
      <c r="F9" s="65">
        <v>26</v>
      </c>
      <c r="G9" s="66">
        <f t="shared" ref="G9:G30" si="0">SUM(C9+D9+E9+F9)</f>
        <v>26</v>
      </c>
      <c r="H9" s="174">
        <f>G9/G31</f>
        <v>1.131024882547416E-3</v>
      </c>
    </row>
    <row r="10" spans="1:8" ht="15" customHeight="1" x14ac:dyDescent="0.2">
      <c r="A10" s="149">
        <v>3</v>
      </c>
      <c r="B10" s="141" t="s">
        <v>72</v>
      </c>
      <c r="C10" s="132">
        <v>10</v>
      </c>
      <c r="D10" s="64">
        <v>0</v>
      </c>
      <c r="E10" s="65">
        <v>2</v>
      </c>
      <c r="F10" s="65">
        <f>1454+1</f>
        <v>1455</v>
      </c>
      <c r="G10" s="66">
        <f>SUM(C10+D10+E10+F10)</f>
        <v>1467</v>
      </c>
      <c r="H10" s="174">
        <f>G10/G31</f>
        <v>6.3815903949886899E-2</v>
      </c>
    </row>
    <row r="11" spans="1:8" ht="15" customHeight="1" x14ac:dyDescent="0.2">
      <c r="A11" s="149">
        <v>4</v>
      </c>
      <c r="B11" s="141" t="s">
        <v>73</v>
      </c>
      <c r="C11" s="133">
        <v>0</v>
      </c>
      <c r="D11" s="67">
        <v>0</v>
      </c>
      <c r="E11" s="68">
        <v>0</v>
      </c>
      <c r="F11" s="60">
        <v>52</v>
      </c>
      <c r="G11" s="66">
        <f t="shared" si="0"/>
        <v>52</v>
      </c>
      <c r="H11" s="174">
        <f>G11/G31</f>
        <v>2.262049765094832E-3</v>
      </c>
    </row>
    <row r="12" spans="1:8" ht="26.25" customHeight="1" x14ac:dyDescent="0.2">
      <c r="A12" s="149">
        <v>5</v>
      </c>
      <c r="B12" s="141" t="s">
        <v>74</v>
      </c>
      <c r="C12" s="132">
        <v>0</v>
      </c>
      <c r="D12" s="64">
        <v>0</v>
      </c>
      <c r="E12" s="65">
        <v>0</v>
      </c>
      <c r="F12" s="65">
        <v>9</v>
      </c>
      <c r="G12" s="66">
        <f t="shared" si="0"/>
        <v>9</v>
      </c>
      <c r="H12" s="174">
        <f>G12/G31</f>
        <v>3.9150861318949017E-4</v>
      </c>
    </row>
    <row r="13" spans="1:8" ht="15" customHeight="1" x14ac:dyDescent="0.2">
      <c r="A13" s="149">
        <v>6</v>
      </c>
      <c r="B13" s="141" t="s">
        <v>75</v>
      </c>
      <c r="C13" s="155">
        <v>0</v>
      </c>
      <c r="D13" s="83">
        <v>0</v>
      </c>
      <c r="E13" s="61">
        <v>12</v>
      </c>
      <c r="F13" s="61">
        <f>1975+2</f>
        <v>1977</v>
      </c>
      <c r="G13" s="66">
        <f t="shared" si="0"/>
        <v>1989</v>
      </c>
      <c r="H13" s="174">
        <f>G13/G31</f>
        <v>8.6523403514877334E-2</v>
      </c>
    </row>
    <row r="14" spans="1:8" ht="24.75" customHeight="1" x14ac:dyDescent="0.2">
      <c r="A14" s="149">
        <v>7</v>
      </c>
      <c r="B14" s="141" t="s">
        <v>76</v>
      </c>
      <c r="C14" s="133">
        <v>0</v>
      </c>
      <c r="D14" s="64">
        <v>0</v>
      </c>
      <c r="E14" s="60">
        <v>24</v>
      </c>
      <c r="F14" s="60">
        <f>3671+6</f>
        <v>3677</v>
      </c>
      <c r="G14" s="66">
        <f t="shared" si="0"/>
        <v>3701</v>
      </c>
      <c r="H14" s="174">
        <f>G14/G31</f>
        <v>0.16099704193492256</v>
      </c>
    </row>
    <row r="15" spans="1:8" ht="15" customHeight="1" x14ac:dyDescent="0.2">
      <c r="A15" s="149">
        <v>8</v>
      </c>
      <c r="B15" s="141" t="s">
        <v>77</v>
      </c>
      <c r="C15" s="133">
        <v>0</v>
      </c>
      <c r="D15" s="64">
        <v>1</v>
      </c>
      <c r="E15" s="59">
        <v>10</v>
      </c>
      <c r="F15" s="60">
        <v>1305</v>
      </c>
      <c r="G15" s="66">
        <f t="shared" si="0"/>
        <v>1316</v>
      </c>
      <c r="H15" s="174">
        <f>G15/G31</f>
        <v>5.7247259439707675E-2</v>
      </c>
    </row>
    <row r="16" spans="1:8" ht="25.5" customHeight="1" x14ac:dyDescent="0.2">
      <c r="A16" s="149">
        <v>9</v>
      </c>
      <c r="B16" s="141" t="s">
        <v>78</v>
      </c>
      <c r="C16" s="132">
        <v>0</v>
      </c>
      <c r="D16" s="64">
        <v>38</v>
      </c>
      <c r="E16" s="65">
        <v>3188</v>
      </c>
      <c r="F16" s="65">
        <f>3177+12</f>
        <v>3189</v>
      </c>
      <c r="G16" s="66">
        <f t="shared" si="0"/>
        <v>6415</v>
      </c>
      <c r="H16" s="174">
        <f>G16/G31</f>
        <v>0.27905863929006436</v>
      </c>
    </row>
    <row r="17" spans="1:8" ht="15" customHeight="1" x14ac:dyDescent="0.2">
      <c r="A17" s="149">
        <v>10</v>
      </c>
      <c r="B17" s="141" t="s">
        <v>79</v>
      </c>
      <c r="C17" s="132">
        <v>0</v>
      </c>
      <c r="D17" s="64">
        <v>0</v>
      </c>
      <c r="E17" s="65">
        <v>1</v>
      </c>
      <c r="F17" s="65">
        <v>577</v>
      </c>
      <c r="G17" s="66">
        <f t="shared" si="0"/>
        <v>578</v>
      </c>
      <c r="H17" s="174">
        <f>G17/G31</f>
        <v>2.514355315816948E-2</v>
      </c>
    </row>
    <row r="18" spans="1:8" ht="15" customHeight="1" x14ac:dyDescent="0.2">
      <c r="A18" s="149">
        <v>11</v>
      </c>
      <c r="B18" s="141" t="s">
        <v>80</v>
      </c>
      <c r="C18" s="132">
        <v>0</v>
      </c>
      <c r="D18" s="64">
        <v>1</v>
      </c>
      <c r="E18" s="65">
        <v>0</v>
      </c>
      <c r="F18" s="60">
        <v>556</v>
      </c>
      <c r="G18" s="66">
        <f t="shared" si="0"/>
        <v>557</v>
      </c>
      <c r="H18" s="174">
        <f>G18/G31</f>
        <v>2.4230033060727334E-2</v>
      </c>
    </row>
    <row r="19" spans="1:8" ht="15" customHeight="1" x14ac:dyDescent="0.2">
      <c r="A19" s="149">
        <v>12</v>
      </c>
      <c r="B19" s="141" t="s">
        <v>81</v>
      </c>
      <c r="C19" s="132">
        <v>0</v>
      </c>
      <c r="D19" s="64">
        <v>0</v>
      </c>
      <c r="E19" s="65">
        <v>2</v>
      </c>
      <c r="F19" s="65">
        <v>126</v>
      </c>
      <c r="G19" s="66">
        <f t="shared" si="0"/>
        <v>128</v>
      </c>
      <c r="H19" s="174">
        <f>G19/G31</f>
        <v>5.5681224986949716E-3</v>
      </c>
    </row>
    <row r="20" spans="1:8" ht="15" customHeight="1" x14ac:dyDescent="0.2">
      <c r="A20" s="149">
        <v>13</v>
      </c>
      <c r="B20" s="141" t="s">
        <v>82</v>
      </c>
      <c r="C20" s="132">
        <v>0</v>
      </c>
      <c r="D20" s="64">
        <v>0</v>
      </c>
      <c r="E20" s="65">
        <v>1</v>
      </c>
      <c r="F20" s="65">
        <v>696</v>
      </c>
      <c r="G20" s="66">
        <f t="shared" si="0"/>
        <v>697</v>
      </c>
      <c r="H20" s="174">
        <f>G20/G31</f>
        <v>3.0320167043674962E-2</v>
      </c>
    </row>
    <row r="21" spans="1:8" ht="15" customHeight="1" x14ac:dyDescent="0.2">
      <c r="A21" s="149">
        <v>14</v>
      </c>
      <c r="B21" s="141" t="s">
        <v>83</v>
      </c>
      <c r="C21" s="132">
        <v>0</v>
      </c>
      <c r="D21" s="64">
        <v>0</v>
      </c>
      <c r="E21" s="65">
        <v>27</v>
      </c>
      <c r="F21" s="65">
        <f>618+1</f>
        <v>619</v>
      </c>
      <c r="G21" s="66">
        <f t="shared" si="0"/>
        <v>646</v>
      </c>
      <c r="H21" s="174">
        <f>G21/G31</f>
        <v>2.8101618235601183E-2</v>
      </c>
    </row>
    <row r="22" spans="1:8" ht="15" customHeight="1" x14ac:dyDescent="0.2">
      <c r="A22" s="150">
        <v>15</v>
      </c>
      <c r="B22" s="141" t="s">
        <v>84</v>
      </c>
      <c r="C22" s="132">
        <v>0</v>
      </c>
      <c r="D22" s="64">
        <v>1</v>
      </c>
      <c r="E22" s="65">
        <v>1</v>
      </c>
      <c r="F22" s="65">
        <v>2084</v>
      </c>
      <c r="G22" s="66">
        <f t="shared" si="0"/>
        <v>2086</v>
      </c>
      <c r="H22" s="174">
        <f>G22/G31</f>
        <v>9.0742996345919605E-2</v>
      </c>
    </row>
    <row r="23" spans="1:8" ht="15" customHeight="1" x14ac:dyDescent="0.2">
      <c r="A23" s="149">
        <v>16</v>
      </c>
      <c r="B23" s="141" t="s">
        <v>85</v>
      </c>
      <c r="C23" s="132">
        <v>0</v>
      </c>
      <c r="D23" s="64">
        <v>0</v>
      </c>
      <c r="E23" s="65">
        <v>2</v>
      </c>
      <c r="F23" s="65">
        <v>302</v>
      </c>
      <c r="G23" s="66">
        <f t="shared" si="0"/>
        <v>304</v>
      </c>
      <c r="H23" s="174">
        <f>G23/G31</f>
        <v>1.3224290934400557E-2</v>
      </c>
    </row>
    <row r="24" spans="1:8" ht="26.25" customHeight="1" x14ac:dyDescent="0.2">
      <c r="A24" s="150">
        <v>17</v>
      </c>
      <c r="B24" s="141" t="s">
        <v>86</v>
      </c>
      <c r="C24" s="132">
        <v>0</v>
      </c>
      <c r="D24" s="64">
        <v>2</v>
      </c>
      <c r="E24" s="65">
        <v>0</v>
      </c>
      <c r="F24" s="65">
        <f>298+1</f>
        <v>299</v>
      </c>
      <c r="G24" s="66">
        <f t="shared" si="0"/>
        <v>301</v>
      </c>
      <c r="H24" s="174">
        <f>G24/G31</f>
        <v>1.3093788063337393E-2</v>
      </c>
    </row>
    <row r="25" spans="1:8" ht="15" customHeight="1" x14ac:dyDescent="0.2">
      <c r="A25" s="149">
        <v>18</v>
      </c>
      <c r="B25" s="142" t="s">
        <v>87</v>
      </c>
      <c r="C25" s="132">
        <v>0</v>
      </c>
      <c r="D25" s="64">
        <v>2</v>
      </c>
      <c r="E25" s="65">
        <v>11</v>
      </c>
      <c r="F25" s="65">
        <v>381</v>
      </c>
      <c r="G25" s="66">
        <f t="shared" si="0"/>
        <v>394</v>
      </c>
      <c r="H25" s="174">
        <f>G25/G31</f>
        <v>1.7139377066295459E-2</v>
      </c>
    </row>
    <row r="26" spans="1:8" ht="15" customHeight="1" x14ac:dyDescent="0.2">
      <c r="A26" s="149">
        <v>19</v>
      </c>
      <c r="B26" s="142" t="s">
        <v>88</v>
      </c>
      <c r="C26" s="132">
        <v>0</v>
      </c>
      <c r="D26" s="64">
        <v>0</v>
      </c>
      <c r="E26" s="65">
        <v>22</v>
      </c>
      <c r="F26" s="65">
        <v>369</v>
      </c>
      <c r="G26" s="66">
        <f t="shared" si="0"/>
        <v>391</v>
      </c>
      <c r="H26" s="174">
        <f>G26/G31</f>
        <v>1.7008874195232296E-2</v>
      </c>
    </row>
    <row r="27" spans="1:8" ht="37.5" customHeight="1" x14ac:dyDescent="0.2">
      <c r="A27" s="150">
        <v>20</v>
      </c>
      <c r="B27" s="142" t="s">
        <v>89</v>
      </c>
      <c r="C27" s="132">
        <v>0</v>
      </c>
      <c r="D27" s="64">
        <v>0</v>
      </c>
      <c r="E27" s="65">
        <v>0</v>
      </c>
      <c r="F27" s="65">
        <v>45</v>
      </c>
      <c r="G27" s="66">
        <f t="shared" si="0"/>
        <v>45</v>
      </c>
      <c r="H27" s="174">
        <f>G27/G31</f>
        <v>1.957543065947451E-3</v>
      </c>
    </row>
    <row r="28" spans="1:8" ht="15" customHeight="1" x14ac:dyDescent="0.2">
      <c r="A28" s="149">
        <v>21</v>
      </c>
      <c r="B28" s="142" t="s">
        <v>90</v>
      </c>
      <c r="C28" s="132">
        <v>0</v>
      </c>
      <c r="D28" s="64">
        <v>0</v>
      </c>
      <c r="E28" s="65">
        <v>0</v>
      </c>
      <c r="F28" s="65">
        <v>20</v>
      </c>
      <c r="G28" s="66">
        <f t="shared" si="0"/>
        <v>20</v>
      </c>
      <c r="H28" s="174">
        <f>G28/G31</f>
        <v>8.7001914042108923E-4</v>
      </c>
    </row>
    <row r="29" spans="1:8" ht="15" customHeight="1" x14ac:dyDescent="0.2">
      <c r="A29" s="149">
        <v>22</v>
      </c>
      <c r="B29" s="143" t="s">
        <v>91</v>
      </c>
      <c r="C29" s="132">
        <v>0</v>
      </c>
      <c r="D29" s="64">
        <v>0</v>
      </c>
      <c r="E29" s="65">
        <v>11</v>
      </c>
      <c r="F29" s="65">
        <f>1675+17</f>
        <v>1692</v>
      </c>
      <c r="G29" s="66">
        <f t="shared" si="0"/>
        <v>1703</v>
      </c>
      <c r="H29" s="174">
        <f>G29/G31</f>
        <v>7.4082129806855745E-2</v>
      </c>
    </row>
    <row r="30" spans="1:8" ht="15" customHeight="1" thickBot="1" x14ac:dyDescent="0.25">
      <c r="A30" s="321">
        <v>23</v>
      </c>
      <c r="B30" s="144" t="s">
        <v>92</v>
      </c>
      <c r="C30" s="134">
        <v>0</v>
      </c>
      <c r="D30" s="69">
        <v>0</v>
      </c>
      <c r="E30" s="70">
        <v>0</v>
      </c>
      <c r="F30" s="65">
        <v>9</v>
      </c>
      <c r="G30" s="66">
        <f t="shared" si="0"/>
        <v>9</v>
      </c>
      <c r="H30" s="176">
        <f>G30/G31</f>
        <v>3.9150861318949017E-4</v>
      </c>
    </row>
    <row r="31" spans="1:8" ht="15" customHeight="1" thickBot="1" x14ac:dyDescent="0.25">
      <c r="A31" s="322" t="s">
        <v>6</v>
      </c>
      <c r="B31" s="323"/>
      <c r="C31" s="135">
        <f>SUM(C8:C30)</f>
        <v>10</v>
      </c>
      <c r="D31" s="71">
        <f>SUM(D8:D30)</f>
        <v>45</v>
      </c>
      <c r="E31" s="71">
        <f t="shared" ref="E31:H31" si="1">SUM(E8:E30)</f>
        <v>3316</v>
      </c>
      <c r="F31" s="71">
        <f t="shared" si="1"/>
        <v>19617</v>
      </c>
      <c r="G31" s="72">
        <f>SUM(G8:G30)</f>
        <v>22988</v>
      </c>
      <c r="H31" s="160">
        <f t="shared" si="1"/>
        <v>0.99999999999999989</v>
      </c>
    </row>
    <row r="32" spans="1:8" x14ac:dyDescent="0.2">
      <c r="B32" s="40"/>
      <c r="F32" s="88"/>
      <c r="G32" s="89"/>
      <c r="H32" s="11"/>
    </row>
    <row r="33" spans="1:9" x14ac:dyDescent="0.2">
      <c r="A33" s="31" t="s">
        <v>129</v>
      </c>
      <c r="B33" s="31"/>
      <c r="C33" s="31"/>
      <c r="D33" s="31"/>
      <c r="E33" s="31"/>
      <c r="F33" s="78" t="s">
        <v>12</v>
      </c>
      <c r="G33" s="31"/>
      <c r="H33" s="88"/>
      <c r="I33" s="11"/>
    </row>
    <row r="34" spans="1:9" x14ac:dyDescent="0.2">
      <c r="A34" s="90"/>
      <c r="B34" s="32">
        <v>42178</v>
      </c>
      <c r="C34" s="175"/>
      <c r="D34" s="90"/>
      <c r="E34" s="31"/>
      <c r="F34" s="78" t="s">
        <v>93</v>
      </c>
      <c r="G34" s="31"/>
      <c r="H34" s="88"/>
      <c r="I34" s="11"/>
    </row>
    <row r="35" spans="1:9" x14ac:dyDescent="0.2">
      <c r="H35" s="11"/>
    </row>
    <row r="36" spans="1:9" x14ac:dyDescent="0.2">
      <c r="H36" s="11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B40" sqref="B40"/>
    </sheetView>
  </sheetViews>
  <sheetFormatPr defaultRowHeight="12.75" x14ac:dyDescent="0.2"/>
  <cols>
    <col min="1" max="1" width="5.42578125" customWidth="1"/>
    <col min="2" max="2" width="58" customWidth="1"/>
    <col min="3" max="3" width="12.85546875" bestFit="1" customWidth="1"/>
    <col min="4" max="6" width="12.7109375" customWidth="1"/>
    <col min="7" max="7" width="11" customWidth="1"/>
    <col min="8" max="8" width="13.28515625" customWidth="1"/>
  </cols>
  <sheetData>
    <row r="1" spans="1:8" x14ac:dyDescent="0.2">
      <c r="A1" s="156" t="s">
        <v>111</v>
      </c>
    </row>
    <row r="2" spans="1:8" x14ac:dyDescent="0.2">
      <c r="A2" s="33"/>
    </row>
    <row r="3" spans="1:8" ht="31.5" customHeight="1" x14ac:dyDescent="0.2">
      <c r="A3" s="421" t="s">
        <v>137</v>
      </c>
      <c r="B3" s="421"/>
      <c r="C3" s="421"/>
      <c r="D3" s="421"/>
      <c r="E3" s="421"/>
      <c r="F3" s="421"/>
      <c r="G3" s="421"/>
    </row>
    <row r="4" spans="1:8" ht="9.75" customHeight="1" thickBot="1" x14ac:dyDescent="0.3">
      <c r="A4" s="401"/>
      <c r="B4" s="401"/>
      <c r="C4" s="401"/>
      <c r="D4" s="401"/>
    </row>
    <row r="5" spans="1:8" ht="11.25" customHeight="1" x14ac:dyDescent="0.2">
      <c r="A5" s="146"/>
      <c r="B5" s="137"/>
      <c r="C5" s="419" t="s">
        <v>62</v>
      </c>
      <c r="D5" s="419"/>
      <c r="E5" s="419"/>
      <c r="F5" s="419"/>
      <c r="G5" s="419"/>
      <c r="H5" s="420"/>
    </row>
    <row r="6" spans="1:8" ht="15" customHeight="1" x14ac:dyDescent="0.2">
      <c r="A6" s="147" t="s">
        <v>63</v>
      </c>
      <c r="B6" s="138" t="s">
        <v>64</v>
      </c>
      <c r="C6" s="422" t="s">
        <v>65</v>
      </c>
      <c r="D6" s="415"/>
      <c r="E6" s="423" t="s">
        <v>66</v>
      </c>
      <c r="F6" s="424"/>
      <c r="G6" s="425" t="s">
        <v>6</v>
      </c>
      <c r="H6" s="417" t="s">
        <v>116</v>
      </c>
    </row>
    <row r="7" spans="1:8" ht="23.25" customHeight="1" thickBot="1" x14ac:dyDescent="0.25">
      <c r="A7" s="145"/>
      <c r="B7" s="139"/>
      <c r="C7" s="129" t="s">
        <v>67</v>
      </c>
      <c r="D7" s="130" t="s">
        <v>68</v>
      </c>
      <c r="E7" s="130" t="s">
        <v>68</v>
      </c>
      <c r="F7" s="108" t="s">
        <v>69</v>
      </c>
      <c r="G7" s="426"/>
      <c r="H7" s="418"/>
    </row>
    <row r="8" spans="1:8" ht="18.75" customHeight="1" x14ac:dyDescent="0.2">
      <c r="A8" s="149">
        <v>1</v>
      </c>
      <c r="B8" s="140" t="s">
        <v>70</v>
      </c>
      <c r="C8" s="131">
        <v>0</v>
      </c>
      <c r="D8" s="83">
        <v>0</v>
      </c>
      <c r="E8" s="95">
        <v>2</v>
      </c>
      <c r="F8" s="95">
        <v>147</v>
      </c>
      <c r="G8" s="66">
        <f>SUM(C8+D8+E8+F8)</f>
        <v>149</v>
      </c>
      <c r="H8" s="153">
        <f>G8/G31</f>
        <v>8.4481487781368717E-3</v>
      </c>
    </row>
    <row r="9" spans="1:8" ht="15" customHeight="1" x14ac:dyDescent="0.2">
      <c r="A9" s="149">
        <v>2</v>
      </c>
      <c r="B9" s="141" t="s">
        <v>71</v>
      </c>
      <c r="C9" s="132">
        <v>0</v>
      </c>
      <c r="D9" s="64">
        <v>0</v>
      </c>
      <c r="E9" s="65">
        <v>0</v>
      </c>
      <c r="F9" s="65">
        <v>26</v>
      </c>
      <c r="G9" s="87">
        <f>SUM(C9+D9+E9+F9)</f>
        <v>26</v>
      </c>
      <c r="H9" s="113">
        <f>G9/G31</f>
        <v>1.4741736122923399E-3</v>
      </c>
    </row>
    <row r="10" spans="1:8" ht="15" customHeight="1" x14ac:dyDescent="0.2">
      <c r="A10" s="149">
        <v>3</v>
      </c>
      <c r="B10" s="141" t="s">
        <v>72</v>
      </c>
      <c r="C10" s="132">
        <v>3</v>
      </c>
      <c r="D10" s="64">
        <v>0</v>
      </c>
      <c r="E10" s="65">
        <v>0</v>
      </c>
      <c r="F10" s="65">
        <f>1368+2</f>
        <v>1370</v>
      </c>
      <c r="G10" s="87">
        <f t="shared" ref="G10:G30" si="0">SUM(C10+D10+E10+F10)</f>
        <v>1373</v>
      </c>
      <c r="H10" s="113">
        <f>G10/G31</f>
        <v>7.784770652605319E-2</v>
      </c>
    </row>
    <row r="11" spans="1:8" ht="15" customHeight="1" x14ac:dyDescent="0.2">
      <c r="A11" s="149">
        <v>4</v>
      </c>
      <c r="B11" s="141" t="s">
        <v>73</v>
      </c>
      <c r="C11" s="133">
        <v>0</v>
      </c>
      <c r="D11" s="67">
        <v>0</v>
      </c>
      <c r="E11" s="68">
        <v>0</v>
      </c>
      <c r="F11" s="60">
        <v>66</v>
      </c>
      <c r="G11" s="30">
        <f t="shared" si="0"/>
        <v>66</v>
      </c>
      <c r="H11" s="113">
        <f>G11/G31</f>
        <v>3.742133015819017E-3</v>
      </c>
    </row>
    <row r="12" spans="1:8" ht="24.75" customHeight="1" x14ac:dyDescent="0.2">
      <c r="A12" s="149">
        <v>5</v>
      </c>
      <c r="B12" s="141" t="s">
        <v>74</v>
      </c>
      <c r="C12" s="132">
        <v>0</v>
      </c>
      <c r="D12" s="64">
        <v>0</v>
      </c>
      <c r="E12" s="65">
        <v>0</v>
      </c>
      <c r="F12" s="65">
        <v>7</v>
      </c>
      <c r="G12" s="30">
        <f t="shared" si="0"/>
        <v>7</v>
      </c>
      <c r="H12" s="113">
        <f>G12/G31</f>
        <v>3.9689289561716846E-4</v>
      </c>
    </row>
    <row r="13" spans="1:8" ht="15" customHeight="1" x14ac:dyDescent="0.2">
      <c r="A13" s="149">
        <v>6</v>
      </c>
      <c r="B13" s="141" t="s">
        <v>75</v>
      </c>
      <c r="C13" s="133">
        <v>0</v>
      </c>
      <c r="D13" s="64">
        <v>0</v>
      </c>
      <c r="E13" s="60">
        <v>12</v>
      </c>
      <c r="F13" s="60">
        <f>1929+5</f>
        <v>1934</v>
      </c>
      <c r="G13" s="30">
        <f t="shared" si="0"/>
        <v>1946</v>
      </c>
      <c r="H13" s="113">
        <f>G13/G31</f>
        <v>0.11033622498157283</v>
      </c>
    </row>
    <row r="14" spans="1:8" ht="26.25" customHeight="1" x14ac:dyDescent="0.2">
      <c r="A14" s="149">
        <v>7</v>
      </c>
      <c r="B14" s="141" t="s">
        <v>76</v>
      </c>
      <c r="C14" s="133">
        <v>0</v>
      </c>
      <c r="D14" s="64">
        <v>0</v>
      </c>
      <c r="E14" s="60">
        <v>12</v>
      </c>
      <c r="F14" s="60">
        <f>3338+8</f>
        <v>3346</v>
      </c>
      <c r="G14" s="30">
        <f t="shared" si="0"/>
        <v>3358</v>
      </c>
      <c r="H14" s="113">
        <f>G14/G31</f>
        <v>0.19039519192606452</v>
      </c>
    </row>
    <row r="15" spans="1:8" ht="15" customHeight="1" x14ac:dyDescent="0.2">
      <c r="A15" s="149">
        <v>8</v>
      </c>
      <c r="B15" s="141" t="s">
        <v>77</v>
      </c>
      <c r="C15" s="133">
        <v>0</v>
      </c>
      <c r="D15" s="64">
        <v>0</v>
      </c>
      <c r="E15" s="59">
        <v>5</v>
      </c>
      <c r="F15" s="60">
        <v>1041</v>
      </c>
      <c r="G15" s="30">
        <f t="shared" si="0"/>
        <v>1046</v>
      </c>
      <c r="H15" s="113">
        <f>G15/G31</f>
        <v>5.9307138402222598E-2</v>
      </c>
    </row>
    <row r="16" spans="1:8" ht="15" customHeight="1" x14ac:dyDescent="0.2">
      <c r="A16" s="149">
        <v>9</v>
      </c>
      <c r="B16" s="141" t="s">
        <v>78</v>
      </c>
      <c r="C16" s="132">
        <v>0</v>
      </c>
      <c r="D16" s="64">
        <v>5</v>
      </c>
      <c r="E16" s="65">
        <v>1151</v>
      </c>
      <c r="F16" s="65">
        <f>2013+9</f>
        <v>2022</v>
      </c>
      <c r="G16" s="30">
        <f t="shared" si="0"/>
        <v>3178</v>
      </c>
      <c r="H16" s="113">
        <f>G16/G31</f>
        <v>0.18018937461019446</v>
      </c>
    </row>
    <row r="17" spans="1:8" ht="15" customHeight="1" x14ac:dyDescent="0.2">
      <c r="A17" s="149">
        <v>10</v>
      </c>
      <c r="B17" s="141" t="s">
        <v>79</v>
      </c>
      <c r="C17" s="132">
        <v>0</v>
      </c>
      <c r="D17" s="64">
        <v>0</v>
      </c>
      <c r="E17" s="65">
        <v>1</v>
      </c>
      <c r="F17" s="65">
        <v>560</v>
      </c>
      <c r="G17" s="87">
        <f t="shared" si="0"/>
        <v>561</v>
      </c>
      <c r="H17" s="113">
        <f>G17/G31</f>
        <v>3.180813063446164E-2</v>
      </c>
    </row>
    <row r="18" spans="1:8" ht="15" customHeight="1" x14ac:dyDescent="0.2">
      <c r="A18" s="149">
        <v>11</v>
      </c>
      <c r="B18" s="141" t="s">
        <v>80</v>
      </c>
      <c r="C18" s="132">
        <v>0</v>
      </c>
      <c r="D18" s="64">
        <v>0</v>
      </c>
      <c r="E18" s="65">
        <v>0</v>
      </c>
      <c r="F18" s="60">
        <v>536</v>
      </c>
      <c r="G18" s="30">
        <f t="shared" si="0"/>
        <v>536</v>
      </c>
      <c r="H18" s="113">
        <f>G18/G31</f>
        <v>3.0390656007257471E-2</v>
      </c>
    </row>
    <row r="19" spans="1:8" ht="15" customHeight="1" x14ac:dyDescent="0.2">
      <c r="A19" s="149">
        <v>12</v>
      </c>
      <c r="B19" s="141" t="s">
        <v>81</v>
      </c>
      <c r="C19" s="132">
        <v>0</v>
      </c>
      <c r="D19" s="64">
        <v>0</v>
      </c>
      <c r="E19" s="65">
        <v>2</v>
      </c>
      <c r="F19" s="65">
        <v>98</v>
      </c>
      <c r="G19" s="87">
        <f t="shared" si="0"/>
        <v>100</v>
      </c>
      <c r="H19" s="113">
        <f>G19/G31</f>
        <v>5.6698985088166924E-3</v>
      </c>
    </row>
    <row r="20" spans="1:8" ht="15" customHeight="1" x14ac:dyDescent="0.2">
      <c r="A20" s="149">
        <v>13</v>
      </c>
      <c r="B20" s="141" t="s">
        <v>82</v>
      </c>
      <c r="C20" s="132">
        <v>0</v>
      </c>
      <c r="D20" s="64">
        <v>0</v>
      </c>
      <c r="E20" s="65">
        <v>0</v>
      </c>
      <c r="F20" s="65">
        <v>679</v>
      </c>
      <c r="G20" s="87">
        <f t="shared" si="0"/>
        <v>679</v>
      </c>
      <c r="H20" s="113">
        <f>G20/G31</f>
        <v>3.8498610874865342E-2</v>
      </c>
    </row>
    <row r="21" spans="1:8" ht="15" customHeight="1" x14ac:dyDescent="0.2">
      <c r="A21" s="149">
        <v>14</v>
      </c>
      <c r="B21" s="141" t="s">
        <v>83</v>
      </c>
      <c r="C21" s="132">
        <v>0</v>
      </c>
      <c r="D21" s="64">
        <v>0</v>
      </c>
      <c r="E21" s="65">
        <v>10</v>
      </c>
      <c r="F21" s="65">
        <v>452</v>
      </c>
      <c r="G21" s="87">
        <f t="shared" si="0"/>
        <v>462</v>
      </c>
      <c r="H21" s="113">
        <f>G21/G31</f>
        <v>2.6194931110733118E-2</v>
      </c>
    </row>
    <row r="22" spans="1:8" ht="15" customHeight="1" x14ac:dyDescent="0.2">
      <c r="A22" s="150">
        <v>15</v>
      </c>
      <c r="B22" s="141" t="s">
        <v>84</v>
      </c>
      <c r="C22" s="132">
        <v>0</v>
      </c>
      <c r="D22" s="64">
        <v>0</v>
      </c>
      <c r="E22" s="65">
        <v>0</v>
      </c>
      <c r="F22" s="65">
        <v>1138</v>
      </c>
      <c r="G22" s="87">
        <f t="shared" si="0"/>
        <v>1138</v>
      </c>
      <c r="H22" s="113">
        <f>G22/G31</f>
        <v>6.4523445030333956E-2</v>
      </c>
    </row>
    <row r="23" spans="1:8" ht="15" customHeight="1" x14ac:dyDescent="0.2">
      <c r="A23" s="149">
        <v>16</v>
      </c>
      <c r="B23" s="141" t="s">
        <v>85</v>
      </c>
      <c r="C23" s="132">
        <v>0</v>
      </c>
      <c r="D23" s="64">
        <v>0</v>
      </c>
      <c r="E23" s="65">
        <v>0</v>
      </c>
      <c r="F23" s="65">
        <v>383</v>
      </c>
      <c r="G23" s="30">
        <f t="shared" si="0"/>
        <v>383</v>
      </c>
      <c r="H23" s="113">
        <f>G23/G31</f>
        <v>2.1715711288767932E-2</v>
      </c>
    </row>
    <row r="24" spans="1:8" ht="24.75" customHeight="1" x14ac:dyDescent="0.2">
      <c r="A24" s="150">
        <v>17</v>
      </c>
      <c r="B24" s="141" t="s">
        <v>86</v>
      </c>
      <c r="C24" s="132">
        <v>0</v>
      </c>
      <c r="D24" s="64">
        <v>1</v>
      </c>
      <c r="E24" s="65">
        <v>0</v>
      </c>
      <c r="F24" s="65">
        <f>261+1</f>
        <v>262</v>
      </c>
      <c r="G24" s="87">
        <f t="shared" si="0"/>
        <v>263</v>
      </c>
      <c r="H24" s="113">
        <f>G24/G31</f>
        <v>1.49118330781879E-2</v>
      </c>
    </row>
    <row r="25" spans="1:8" ht="15" customHeight="1" x14ac:dyDescent="0.2">
      <c r="A25" s="149">
        <v>18</v>
      </c>
      <c r="B25" s="142" t="s">
        <v>87</v>
      </c>
      <c r="C25" s="132">
        <v>0</v>
      </c>
      <c r="D25" s="64">
        <v>0</v>
      </c>
      <c r="E25" s="65">
        <v>4</v>
      </c>
      <c r="F25" s="65">
        <v>268</v>
      </c>
      <c r="G25" s="87">
        <f t="shared" si="0"/>
        <v>272</v>
      </c>
      <c r="H25" s="113">
        <f>G25/G31</f>
        <v>1.5422123943981403E-2</v>
      </c>
    </row>
    <row r="26" spans="1:8" ht="15" customHeight="1" x14ac:dyDescent="0.2">
      <c r="A26" s="149">
        <v>19</v>
      </c>
      <c r="B26" s="142" t="s">
        <v>88</v>
      </c>
      <c r="C26" s="132">
        <v>0</v>
      </c>
      <c r="D26" s="64">
        <v>0</v>
      </c>
      <c r="E26" s="65">
        <v>14</v>
      </c>
      <c r="F26" s="65">
        <v>299</v>
      </c>
      <c r="G26" s="87">
        <f t="shared" si="0"/>
        <v>313</v>
      </c>
      <c r="H26" s="113">
        <f>G26/G31</f>
        <v>1.7746782332596245E-2</v>
      </c>
    </row>
    <row r="27" spans="1:8" ht="38.25" customHeight="1" x14ac:dyDescent="0.2">
      <c r="A27" s="150">
        <v>20</v>
      </c>
      <c r="B27" s="142" t="s">
        <v>89</v>
      </c>
      <c r="C27" s="132">
        <v>0</v>
      </c>
      <c r="D27" s="64">
        <v>0</v>
      </c>
      <c r="E27" s="65">
        <v>0</v>
      </c>
      <c r="F27" s="65">
        <v>38</v>
      </c>
      <c r="G27" s="87">
        <f t="shared" si="0"/>
        <v>38</v>
      </c>
      <c r="H27" s="113">
        <f>G27/G31</f>
        <v>2.1545614333503432E-3</v>
      </c>
    </row>
    <row r="28" spans="1:8" ht="15.75" customHeight="1" x14ac:dyDescent="0.2">
      <c r="A28" s="149">
        <v>21</v>
      </c>
      <c r="B28" s="142" t="s">
        <v>90</v>
      </c>
      <c r="C28" s="132">
        <v>0</v>
      </c>
      <c r="D28" s="64">
        <v>0</v>
      </c>
      <c r="E28" s="65">
        <v>0</v>
      </c>
      <c r="F28" s="65">
        <v>23</v>
      </c>
      <c r="G28" s="87">
        <f t="shared" si="0"/>
        <v>23</v>
      </c>
      <c r="H28" s="113">
        <f>G28/G31</f>
        <v>1.3040766570278392E-3</v>
      </c>
    </row>
    <row r="29" spans="1:8" x14ac:dyDescent="0.2">
      <c r="A29" s="149">
        <v>22</v>
      </c>
      <c r="B29" s="143" t="s">
        <v>91</v>
      </c>
      <c r="C29" s="132">
        <v>0</v>
      </c>
      <c r="D29" s="64">
        <v>1</v>
      </c>
      <c r="E29" s="65">
        <v>7</v>
      </c>
      <c r="F29" s="65">
        <f>1685+17</f>
        <v>1702</v>
      </c>
      <c r="G29" s="87">
        <f t="shared" si="0"/>
        <v>1710</v>
      </c>
      <c r="H29" s="113">
        <f>G29/G31</f>
        <v>9.6955264500765442E-2</v>
      </c>
    </row>
    <row r="30" spans="1:8" ht="13.5" thickBot="1" x14ac:dyDescent="0.25">
      <c r="A30" s="149">
        <v>23</v>
      </c>
      <c r="B30" s="144" t="s">
        <v>92</v>
      </c>
      <c r="C30" s="134">
        <v>0</v>
      </c>
      <c r="D30" s="69">
        <v>0</v>
      </c>
      <c r="E30" s="70">
        <v>0</v>
      </c>
      <c r="F30" s="65">
        <v>10</v>
      </c>
      <c r="G30" s="87">
        <f t="shared" si="0"/>
        <v>10</v>
      </c>
      <c r="H30" s="113">
        <f>G30/G31</f>
        <v>5.6698985088166922E-4</v>
      </c>
    </row>
    <row r="31" spans="1:8" ht="13.5" thickBot="1" x14ac:dyDescent="0.25">
      <c r="A31" s="151"/>
      <c r="B31" s="136" t="s">
        <v>6</v>
      </c>
      <c r="C31" s="135">
        <f t="shared" ref="C31:H31" si="1">SUM(C8:C30)</f>
        <v>3</v>
      </c>
      <c r="D31" s="71">
        <f>SUM(D8:D30)</f>
        <v>7</v>
      </c>
      <c r="E31" s="71">
        <f t="shared" si="1"/>
        <v>1220</v>
      </c>
      <c r="F31" s="71">
        <f t="shared" si="1"/>
        <v>16407</v>
      </c>
      <c r="G31" s="72">
        <f t="shared" si="1"/>
        <v>17637</v>
      </c>
      <c r="H31" s="152">
        <f t="shared" si="1"/>
        <v>1</v>
      </c>
    </row>
    <row r="32" spans="1:8" x14ac:dyDescent="0.2">
      <c r="B32" s="40"/>
      <c r="F32" s="88"/>
      <c r="G32" s="89"/>
    </row>
    <row r="33" spans="1:9" x14ac:dyDescent="0.2">
      <c r="A33" s="31" t="s">
        <v>129</v>
      </c>
      <c r="B33" s="31"/>
      <c r="C33" s="31"/>
      <c r="D33" s="31"/>
      <c r="E33" s="31"/>
      <c r="F33" s="31"/>
      <c r="G33" s="78" t="s">
        <v>12</v>
      </c>
      <c r="H33" s="31"/>
      <c r="I33" s="88"/>
    </row>
    <row r="34" spans="1:9" x14ac:dyDescent="0.2">
      <c r="A34" s="90"/>
      <c r="B34" s="32">
        <v>42206</v>
      </c>
      <c r="C34" s="177"/>
      <c r="D34" s="177"/>
      <c r="E34" s="90"/>
      <c r="F34" s="31"/>
      <c r="G34" s="78" t="s">
        <v>93</v>
      </c>
      <c r="H34" s="31"/>
      <c r="I34" s="88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7" sqref="C7:H30"/>
    </sheetView>
  </sheetViews>
  <sheetFormatPr defaultRowHeight="12.75" x14ac:dyDescent="0.2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8" x14ac:dyDescent="0.2">
      <c r="A1" s="126" t="s">
        <v>106</v>
      </c>
      <c r="B1" s="25"/>
    </row>
    <row r="2" spans="1:8" ht="28.5" customHeight="1" x14ac:dyDescent="0.2">
      <c r="A2" s="402" t="s">
        <v>136</v>
      </c>
      <c r="B2" s="402"/>
      <c r="C2" s="402"/>
      <c r="D2" s="402"/>
      <c r="E2" s="402"/>
      <c r="F2" s="402"/>
      <c r="G2" s="402"/>
    </row>
    <row r="3" spans="1:8" ht="1.5" customHeight="1" thickBot="1" x14ac:dyDescent="0.3">
      <c r="A3" s="401"/>
      <c r="B3" s="401"/>
      <c r="C3" s="401"/>
    </row>
    <row r="4" spans="1:8" ht="16.5" customHeight="1" x14ac:dyDescent="0.2">
      <c r="A4" s="146"/>
      <c r="B4" s="137"/>
      <c r="C4" s="414" t="s">
        <v>62</v>
      </c>
      <c r="D4" s="404"/>
      <c r="E4" s="404"/>
      <c r="F4" s="404"/>
      <c r="G4" s="404"/>
      <c r="H4" s="405"/>
    </row>
    <row r="5" spans="1:8" ht="16.5" customHeight="1" x14ac:dyDescent="0.2">
      <c r="A5" s="147" t="s">
        <v>63</v>
      </c>
      <c r="B5" s="138" t="s">
        <v>64</v>
      </c>
      <c r="C5" s="415" t="s">
        <v>65</v>
      </c>
      <c r="D5" s="407"/>
      <c r="E5" s="408" t="s">
        <v>66</v>
      </c>
      <c r="F5" s="408"/>
      <c r="G5" s="430" t="s">
        <v>6</v>
      </c>
      <c r="H5" s="427" t="s">
        <v>116</v>
      </c>
    </row>
    <row r="6" spans="1:8" ht="24.75" customHeight="1" thickBot="1" x14ac:dyDescent="0.25">
      <c r="A6" s="139"/>
      <c r="B6" s="139"/>
      <c r="C6" s="154" t="s">
        <v>67</v>
      </c>
      <c r="D6" s="108" t="s">
        <v>68</v>
      </c>
      <c r="E6" s="108" t="s">
        <v>68</v>
      </c>
      <c r="F6" s="108" t="s">
        <v>69</v>
      </c>
      <c r="G6" s="431"/>
      <c r="H6" s="428"/>
    </row>
    <row r="7" spans="1:8" ht="15" customHeight="1" x14ac:dyDescent="0.2">
      <c r="A7" s="148">
        <v>1</v>
      </c>
      <c r="B7" s="140" t="s">
        <v>70</v>
      </c>
      <c r="C7" s="131">
        <v>0</v>
      </c>
      <c r="D7" s="83">
        <v>0</v>
      </c>
      <c r="E7" s="95">
        <v>1</v>
      </c>
      <c r="F7" s="95">
        <v>140</v>
      </c>
      <c r="G7" s="81">
        <f>SUM(C7+D7+E7+F7)</f>
        <v>141</v>
      </c>
      <c r="H7" s="157">
        <f>G7/G30</f>
        <v>7.9027014908642536E-3</v>
      </c>
    </row>
    <row r="8" spans="1:8" ht="1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27</v>
      </c>
      <c r="G8" s="106">
        <f>SUM(C8+D8+E8+F8)</f>
        <v>27</v>
      </c>
      <c r="H8" s="158">
        <f>G8/G30</f>
        <v>1.5132832642080485E-3</v>
      </c>
    </row>
    <row r="9" spans="1:8" ht="15" customHeight="1" x14ac:dyDescent="0.2">
      <c r="A9" s="149">
        <v>3</v>
      </c>
      <c r="B9" s="141" t="s">
        <v>72</v>
      </c>
      <c r="C9" s="132">
        <v>0</v>
      </c>
      <c r="D9" s="64">
        <v>0</v>
      </c>
      <c r="E9" s="65">
        <v>0</v>
      </c>
      <c r="F9" s="65">
        <f>1278+1</f>
        <v>1279</v>
      </c>
      <c r="G9" s="106">
        <f t="shared" ref="G9:G29" si="0">SUM(C9+D9+E9+F9)</f>
        <v>1279</v>
      </c>
      <c r="H9" s="158">
        <f>G9/G30</f>
        <v>7.1684788700818292E-2</v>
      </c>
    </row>
    <row r="10" spans="1:8" ht="28.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72</v>
      </c>
      <c r="G10" s="107">
        <f t="shared" si="0"/>
        <v>72</v>
      </c>
      <c r="H10" s="158">
        <f>G10/G30</f>
        <v>4.0354220378881287E-3</v>
      </c>
    </row>
    <row r="11" spans="1:8" ht="24.75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6</v>
      </c>
      <c r="G11" s="107">
        <f t="shared" si="0"/>
        <v>6</v>
      </c>
      <c r="H11" s="158">
        <f>G11/G30</f>
        <v>3.3628516982401078E-4</v>
      </c>
    </row>
    <row r="12" spans="1:8" ht="15" customHeight="1" x14ac:dyDescent="0.2">
      <c r="A12" s="149">
        <v>6</v>
      </c>
      <c r="B12" s="141" t="s">
        <v>75</v>
      </c>
      <c r="C12" s="133">
        <v>0</v>
      </c>
      <c r="D12" s="59">
        <v>0</v>
      </c>
      <c r="E12" s="60">
        <v>9</v>
      </c>
      <c r="F12" s="60">
        <f>1839+4</f>
        <v>1843</v>
      </c>
      <c r="G12" s="107">
        <f t="shared" si="0"/>
        <v>1852</v>
      </c>
      <c r="H12" s="158">
        <f>G12/G30</f>
        <v>0.10380002241901132</v>
      </c>
    </row>
    <row r="13" spans="1:8" ht="15" customHeight="1" x14ac:dyDescent="0.2">
      <c r="A13" s="149">
        <v>7</v>
      </c>
      <c r="B13" s="141" t="s">
        <v>76</v>
      </c>
      <c r="C13" s="133">
        <v>0</v>
      </c>
      <c r="D13" s="59">
        <v>0</v>
      </c>
      <c r="E13" s="60">
        <v>8</v>
      </c>
      <c r="F13" s="60">
        <f>3150+7</f>
        <v>3157</v>
      </c>
      <c r="G13" s="107">
        <f t="shared" si="0"/>
        <v>3165</v>
      </c>
      <c r="H13" s="158">
        <f>G13/G30</f>
        <v>0.17739042708216568</v>
      </c>
    </row>
    <row r="14" spans="1:8" ht="15" customHeight="1" x14ac:dyDescent="0.2">
      <c r="A14" s="149">
        <v>8</v>
      </c>
      <c r="B14" s="141" t="s">
        <v>77</v>
      </c>
      <c r="C14" s="133">
        <v>0</v>
      </c>
      <c r="D14" s="59">
        <v>0</v>
      </c>
      <c r="E14" s="59">
        <v>1</v>
      </c>
      <c r="F14" s="60">
        <v>954</v>
      </c>
      <c r="G14" s="107">
        <f t="shared" si="0"/>
        <v>955</v>
      </c>
      <c r="H14" s="158">
        <f>G14/G30</f>
        <v>5.352538953032171E-2</v>
      </c>
    </row>
    <row r="15" spans="1:8" ht="31.5" customHeight="1" x14ac:dyDescent="0.2">
      <c r="A15" s="149">
        <v>9</v>
      </c>
      <c r="B15" s="141" t="s">
        <v>78</v>
      </c>
      <c r="C15" s="132">
        <v>0</v>
      </c>
      <c r="D15" s="64">
        <v>2</v>
      </c>
      <c r="E15" s="59">
        <v>460</v>
      </c>
      <c r="F15" s="65">
        <f>1717+6</f>
        <v>1723</v>
      </c>
      <c r="G15" s="107">
        <f t="shared" si="0"/>
        <v>2185</v>
      </c>
      <c r="H15" s="158">
        <f>G15/G30</f>
        <v>0.12246384934424392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1</v>
      </c>
      <c r="F16" s="65">
        <v>533</v>
      </c>
      <c r="G16" s="106">
        <f t="shared" si="0"/>
        <v>534</v>
      </c>
      <c r="H16" s="158">
        <f>G16/G30</f>
        <v>2.9929380114336959E-2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f>491+1</f>
        <v>492</v>
      </c>
      <c r="G17" s="107">
        <f t="shared" si="0"/>
        <v>492</v>
      </c>
      <c r="H17" s="158">
        <f>G17/G30</f>
        <v>2.7575383925568884E-2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0</v>
      </c>
      <c r="E18" s="65">
        <v>1</v>
      </c>
      <c r="F18" s="65">
        <v>85</v>
      </c>
      <c r="G18" s="106">
        <f t="shared" si="0"/>
        <v>86</v>
      </c>
      <c r="H18" s="158">
        <f>G18/G30</f>
        <v>4.8200874341441545E-3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0</v>
      </c>
      <c r="F19" s="65">
        <v>717</v>
      </c>
      <c r="G19" s="106">
        <f t="shared" si="0"/>
        <v>717</v>
      </c>
      <c r="H19" s="158">
        <f>G19/G30</f>
        <v>4.0186077793969287E-2</v>
      </c>
    </row>
    <row r="20" spans="1:8" ht="15" customHeight="1" x14ac:dyDescent="0.2">
      <c r="A20" s="149">
        <v>14</v>
      </c>
      <c r="B20" s="141" t="s">
        <v>83</v>
      </c>
      <c r="C20" s="132">
        <v>0</v>
      </c>
      <c r="D20" s="64">
        <v>0</v>
      </c>
      <c r="E20" s="65">
        <v>7</v>
      </c>
      <c r="F20" s="65">
        <v>397</v>
      </c>
      <c r="G20" s="106">
        <f t="shared" si="0"/>
        <v>404</v>
      </c>
      <c r="H20" s="158">
        <f>G20/G30</f>
        <v>2.2643201434816726E-2</v>
      </c>
    </row>
    <row r="21" spans="1:8" ht="15" customHeight="1" x14ac:dyDescent="0.2">
      <c r="A21" s="150">
        <v>15</v>
      </c>
      <c r="B21" s="141" t="s">
        <v>84</v>
      </c>
      <c r="C21" s="132">
        <v>0</v>
      </c>
      <c r="D21" s="64">
        <v>0</v>
      </c>
      <c r="E21" s="65">
        <v>0</v>
      </c>
      <c r="F21" s="65">
        <v>1533</v>
      </c>
      <c r="G21" s="106">
        <f t="shared" si="0"/>
        <v>1533</v>
      </c>
      <c r="H21" s="158">
        <f>G21/G30</f>
        <v>8.5920860890034756E-2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0</v>
      </c>
      <c r="E22" s="65">
        <v>0</v>
      </c>
      <c r="F22" s="65">
        <v>1283</v>
      </c>
      <c r="G22" s="107">
        <f t="shared" si="0"/>
        <v>1283</v>
      </c>
      <c r="H22" s="158">
        <f>G22/G30</f>
        <v>7.1908978814034297E-2</v>
      </c>
    </row>
    <row r="23" spans="1:8" ht="27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0</v>
      </c>
      <c r="F23" s="65">
        <v>254</v>
      </c>
      <c r="G23" s="106">
        <f t="shared" si="0"/>
        <v>254</v>
      </c>
      <c r="H23" s="158">
        <f>G23/G30</f>
        <v>1.4236072189216456E-2</v>
      </c>
    </row>
    <row r="24" spans="1:8" ht="15" customHeight="1" x14ac:dyDescent="0.2">
      <c r="A24" s="149">
        <v>18</v>
      </c>
      <c r="B24" s="142" t="s">
        <v>87</v>
      </c>
      <c r="C24" s="132">
        <v>0</v>
      </c>
      <c r="D24" s="64">
        <v>0</v>
      </c>
      <c r="E24" s="65">
        <v>4</v>
      </c>
      <c r="F24" s="65">
        <v>251</v>
      </c>
      <c r="G24" s="106">
        <f t="shared" si="0"/>
        <v>255</v>
      </c>
      <c r="H24" s="158">
        <f>G24/G30</f>
        <v>1.4292119717520457E-2</v>
      </c>
    </row>
    <row r="25" spans="1:8" ht="15" customHeight="1" x14ac:dyDescent="0.2">
      <c r="A25" s="149">
        <v>19</v>
      </c>
      <c r="B25" s="142" t="s">
        <v>88</v>
      </c>
      <c r="C25" s="132">
        <v>0</v>
      </c>
      <c r="D25" s="64">
        <v>0</v>
      </c>
      <c r="E25" s="65">
        <v>9</v>
      </c>
      <c r="F25" s="65">
        <v>345</v>
      </c>
      <c r="G25" s="106">
        <f t="shared" si="0"/>
        <v>354</v>
      </c>
      <c r="H25" s="158">
        <f>G25/G30</f>
        <v>1.9840825019616634E-2</v>
      </c>
    </row>
    <row r="26" spans="1:8" ht="38.25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40</v>
      </c>
      <c r="G26" s="109">
        <f t="shared" si="0"/>
        <v>40</v>
      </c>
      <c r="H26" s="158">
        <f>G26/G30</f>
        <v>2.2419011321600717E-3</v>
      </c>
    </row>
    <row r="27" spans="1:8" ht="1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26</v>
      </c>
      <c r="G27" s="106">
        <f t="shared" si="0"/>
        <v>26</v>
      </c>
      <c r="H27" s="158">
        <f>G27/G30</f>
        <v>1.4572357359040466E-3</v>
      </c>
    </row>
    <row r="28" spans="1:8" ht="15" customHeight="1" x14ac:dyDescent="0.2">
      <c r="A28" s="149">
        <v>22</v>
      </c>
      <c r="B28" s="143" t="s">
        <v>91</v>
      </c>
      <c r="C28" s="132">
        <v>0</v>
      </c>
      <c r="D28" s="64">
        <v>1</v>
      </c>
      <c r="E28" s="65">
        <v>7</v>
      </c>
      <c r="F28" s="65">
        <f>2144+19</f>
        <v>2163</v>
      </c>
      <c r="G28" s="106">
        <f t="shared" si="0"/>
        <v>2171</v>
      </c>
      <c r="H28" s="158">
        <f>G28/G30</f>
        <v>0.12167918394798789</v>
      </c>
    </row>
    <row r="29" spans="1:8" ht="15" customHeight="1" thickBot="1" x14ac:dyDescent="0.25">
      <c r="A29" s="149">
        <v>23</v>
      </c>
      <c r="B29" s="144" t="s">
        <v>92</v>
      </c>
      <c r="C29" s="134">
        <v>0</v>
      </c>
      <c r="D29" s="69">
        <v>0</v>
      </c>
      <c r="E29" s="70">
        <v>0</v>
      </c>
      <c r="F29" s="70">
        <v>11</v>
      </c>
      <c r="G29" s="109">
        <f t="shared" si="0"/>
        <v>11</v>
      </c>
      <c r="H29" s="159">
        <f>G29/G30</f>
        <v>6.1652281134401974E-4</v>
      </c>
    </row>
    <row r="30" spans="1:8" ht="15" customHeight="1" thickBot="1" x14ac:dyDescent="0.25">
      <c r="A30" s="151"/>
      <c r="B30" s="136" t="s">
        <v>6</v>
      </c>
      <c r="C30" s="135">
        <f t="shared" ref="C30:H30" si="1">SUM(C7:C29)</f>
        <v>0</v>
      </c>
      <c r="D30" s="71">
        <f t="shared" si="1"/>
        <v>3</v>
      </c>
      <c r="E30" s="71">
        <f t="shared" si="1"/>
        <v>508</v>
      </c>
      <c r="F30" s="71">
        <f t="shared" si="1"/>
        <v>17331</v>
      </c>
      <c r="G30" s="82">
        <f t="shared" si="1"/>
        <v>17842</v>
      </c>
      <c r="H30" s="160">
        <f t="shared" si="1"/>
        <v>1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27" t="s">
        <v>144</v>
      </c>
      <c r="B32" s="40"/>
      <c r="F32" s="88" t="s">
        <v>12</v>
      </c>
    </row>
    <row r="33" spans="1:6" x14ac:dyDescent="0.2">
      <c r="A33" s="429">
        <v>42249</v>
      </c>
      <c r="B33" s="429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3" sqref="A33:B33"/>
    </sheetView>
  </sheetViews>
  <sheetFormatPr defaultRowHeight="12.75" x14ac:dyDescent="0.2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 x14ac:dyDescent="0.2">
      <c r="A1" s="126" t="s">
        <v>105</v>
      </c>
      <c r="B1" s="25"/>
    </row>
    <row r="2" spans="1:8" ht="26.25" customHeight="1" x14ac:dyDescent="0.2">
      <c r="A2" s="402" t="s">
        <v>135</v>
      </c>
      <c r="B2" s="402"/>
      <c r="C2" s="402"/>
      <c r="D2" s="402"/>
      <c r="E2" s="402"/>
      <c r="F2" s="402"/>
      <c r="G2" s="402"/>
    </row>
    <row r="3" spans="1:8" ht="16.5" thickBot="1" x14ac:dyDescent="0.3">
      <c r="A3" s="401"/>
      <c r="B3" s="401"/>
      <c r="C3" s="401"/>
    </row>
    <row r="4" spans="1:8" ht="18" customHeight="1" x14ac:dyDescent="0.2">
      <c r="A4" s="146"/>
      <c r="B4" s="137"/>
      <c r="C4" s="414" t="s">
        <v>62</v>
      </c>
      <c r="D4" s="404"/>
      <c r="E4" s="404"/>
      <c r="F4" s="404"/>
      <c r="G4" s="404"/>
      <c r="H4" s="434"/>
    </row>
    <row r="5" spans="1:8" ht="18.75" customHeight="1" x14ac:dyDescent="0.2">
      <c r="A5" s="147" t="s">
        <v>63</v>
      </c>
      <c r="B5" s="138" t="s">
        <v>64</v>
      </c>
      <c r="C5" s="415" t="s">
        <v>65</v>
      </c>
      <c r="D5" s="407"/>
      <c r="E5" s="408" t="s">
        <v>66</v>
      </c>
      <c r="F5" s="408"/>
      <c r="G5" s="375" t="s">
        <v>6</v>
      </c>
      <c r="H5" s="432" t="s">
        <v>116</v>
      </c>
    </row>
    <row r="6" spans="1:8" ht="24.75" customHeight="1" thickBot="1" x14ac:dyDescent="0.25">
      <c r="A6" s="139"/>
      <c r="B6" s="139"/>
      <c r="C6" s="154" t="s">
        <v>67</v>
      </c>
      <c r="D6" s="108" t="s">
        <v>68</v>
      </c>
      <c r="E6" s="108" t="s">
        <v>68</v>
      </c>
      <c r="F6" s="108" t="s">
        <v>69</v>
      </c>
      <c r="G6" s="436"/>
      <c r="H6" s="433"/>
    </row>
    <row r="7" spans="1:8" ht="15" customHeight="1" x14ac:dyDescent="0.2">
      <c r="A7" s="148">
        <v>1</v>
      </c>
      <c r="B7" s="140" t="s">
        <v>70</v>
      </c>
      <c r="C7" s="131">
        <v>0</v>
      </c>
      <c r="D7" s="83">
        <v>0</v>
      </c>
      <c r="E7" s="95">
        <v>0</v>
      </c>
      <c r="F7" s="95">
        <v>124</v>
      </c>
      <c r="G7" s="81">
        <f>SUM(C7+D7+E7+F7)</f>
        <v>124</v>
      </c>
      <c r="H7" s="112">
        <f>G7/G30</f>
        <v>6.7934038240289266E-3</v>
      </c>
    </row>
    <row r="8" spans="1:8" ht="1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29</v>
      </c>
      <c r="G8" s="106">
        <f>SUM(C8+D8+E8+F8)</f>
        <v>29</v>
      </c>
      <c r="H8" s="113">
        <f>G8/G30</f>
        <v>1.5887799265874103E-3</v>
      </c>
    </row>
    <row r="9" spans="1:8" ht="15" customHeight="1" x14ac:dyDescent="0.2">
      <c r="A9" s="149">
        <v>3</v>
      </c>
      <c r="B9" s="141" t="s">
        <v>72</v>
      </c>
      <c r="C9" s="132">
        <v>0</v>
      </c>
      <c r="D9" s="64">
        <v>0</v>
      </c>
      <c r="E9" s="65">
        <v>1</v>
      </c>
      <c r="F9" s="65">
        <v>1243</v>
      </c>
      <c r="G9" s="106">
        <f t="shared" ref="G9:G29" si="0">SUM(C9+D9+E9+F9)</f>
        <v>1244</v>
      </c>
      <c r="H9" s="113">
        <f>G9/G30</f>
        <v>6.815318029912891E-2</v>
      </c>
    </row>
    <row r="10" spans="1:8" ht="1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67</v>
      </c>
      <c r="G10" s="107">
        <f t="shared" si="0"/>
        <v>67</v>
      </c>
      <c r="H10" s="113">
        <f>G10/G30</f>
        <v>3.6706294855640169E-3</v>
      </c>
    </row>
    <row r="11" spans="1:8" ht="24.75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6</v>
      </c>
      <c r="G11" s="107">
        <f t="shared" si="0"/>
        <v>6</v>
      </c>
      <c r="H11" s="113">
        <f>G11/G30</f>
        <v>3.287130882594642E-4</v>
      </c>
    </row>
    <row r="12" spans="1:8" ht="15" customHeight="1" x14ac:dyDescent="0.2">
      <c r="A12" s="149">
        <v>6</v>
      </c>
      <c r="B12" s="141" t="s">
        <v>75</v>
      </c>
      <c r="C12" s="133">
        <v>0</v>
      </c>
      <c r="D12" s="59">
        <v>0</v>
      </c>
      <c r="E12" s="60">
        <v>7</v>
      </c>
      <c r="F12" s="60">
        <f>1793+3</f>
        <v>1796</v>
      </c>
      <c r="G12" s="107">
        <f t="shared" si="0"/>
        <v>1803</v>
      </c>
      <c r="H12" s="113">
        <f>G12/G30</f>
        <v>9.8778283021968991E-2</v>
      </c>
    </row>
    <row r="13" spans="1:8" ht="24.75" customHeight="1" x14ac:dyDescent="0.2">
      <c r="A13" s="149">
        <v>7</v>
      </c>
      <c r="B13" s="141" t="s">
        <v>76</v>
      </c>
      <c r="C13" s="133">
        <v>0</v>
      </c>
      <c r="D13" s="59">
        <v>0</v>
      </c>
      <c r="E13" s="60">
        <v>7</v>
      </c>
      <c r="F13" s="60">
        <f>3073+6</f>
        <v>3079</v>
      </c>
      <c r="G13" s="107">
        <f t="shared" si="0"/>
        <v>3086</v>
      </c>
      <c r="H13" s="113">
        <f>G13/G30</f>
        <v>0.16906809839478443</v>
      </c>
    </row>
    <row r="14" spans="1:8" ht="15" customHeight="1" x14ac:dyDescent="0.2">
      <c r="A14" s="149">
        <v>8</v>
      </c>
      <c r="B14" s="141" t="s">
        <v>77</v>
      </c>
      <c r="C14" s="133">
        <v>0</v>
      </c>
      <c r="D14" s="59">
        <v>0</v>
      </c>
      <c r="E14" s="59">
        <v>1</v>
      </c>
      <c r="F14" s="60">
        <v>879</v>
      </c>
      <c r="G14" s="107">
        <f t="shared" si="0"/>
        <v>880</v>
      </c>
      <c r="H14" s="113">
        <f>G14/G30</f>
        <v>4.8211252944721415E-2</v>
      </c>
    </row>
    <row r="15" spans="1:8" ht="15" customHeight="1" x14ac:dyDescent="0.2">
      <c r="A15" s="149">
        <v>9</v>
      </c>
      <c r="B15" s="141" t="s">
        <v>78</v>
      </c>
      <c r="C15" s="132">
        <v>0</v>
      </c>
      <c r="D15" s="64">
        <v>0</v>
      </c>
      <c r="E15" s="59">
        <v>298</v>
      </c>
      <c r="F15" s="65">
        <f>1514+3</f>
        <v>1517</v>
      </c>
      <c r="G15" s="107">
        <f t="shared" si="0"/>
        <v>1815</v>
      </c>
      <c r="H15" s="113">
        <f>G15/G30</f>
        <v>9.9435709198487918E-2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0</v>
      </c>
      <c r="F16" s="65">
        <v>488</v>
      </c>
      <c r="G16" s="106">
        <f t="shared" si="0"/>
        <v>488</v>
      </c>
      <c r="H16" s="113">
        <f>G16/G30</f>
        <v>2.6735331178436423E-2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f>441+1</f>
        <v>442</v>
      </c>
      <c r="G17" s="107">
        <f t="shared" si="0"/>
        <v>442</v>
      </c>
      <c r="H17" s="113">
        <f>G17/G30</f>
        <v>2.4215197501780528E-2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0</v>
      </c>
      <c r="E18" s="65">
        <v>2</v>
      </c>
      <c r="F18" s="65">
        <v>73</v>
      </c>
      <c r="G18" s="106">
        <f t="shared" si="0"/>
        <v>75</v>
      </c>
      <c r="H18" s="113">
        <f>G18/G30</f>
        <v>4.1089136032433022E-3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0</v>
      </c>
      <c r="F19" s="65">
        <v>753</v>
      </c>
      <c r="G19" s="106">
        <f t="shared" si="0"/>
        <v>753</v>
      </c>
      <c r="H19" s="113">
        <f>G19/G30</f>
        <v>4.1253492576562759E-2</v>
      </c>
    </row>
    <row r="20" spans="1:8" ht="15" customHeight="1" x14ac:dyDescent="0.2">
      <c r="A20" s="149">
        <v>14</v>
      </c>
      <c r="B20" s="141" t="s">
        <v>83</v>
      </c>
      <c r="C20" s="132">
        <v>0</v>
      </c>
      <c r="D20" s="64">
        <v>0</v>
      </c>
      <c r="E20" s="65">
        <v>4</v>
      </c>
      <c r="F20" s="65">
        <v>359</v>
      </c>
      <c r="G20" s="106">
        <f t="shared" si="0"/>
        <v>363</v>
      </c>
      <c r="H20" s="113">
        <f>G20/G30</f>
        <v>1.9887141839697583E-2</v>
      </c>
    </row>
    <row r="21" spans="1:8" ht="15" customHeight="1" x14ac:dyDescent="0.2">
      <c r="A21" s="150">
        <v>15</v>
      </c>
      <c r="B21" s="141" t="s">
        <v>84</v>
      </c>
      <c r="C21" s="132">
        <v>0</v>
      </c>
      <c r="D21" s="64">
        <v>0</v>
      </c>
      <c r="E21" s="65">
        <v>0</v>
      </c>
      <c r="F21" s="65">
        <f>1733+1</f>
        <v>1734</v>
      </c>
      <c r="G21" s="106">
        <f t="shared" si="0"/>
        <v>1734</v>
      </c>
      <c r="H21" s="113">
        <f>G21/G30</f>
        <v>9.499808250698516E-2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0</v>
      </c>
      <c r="E22" s="65">
        <v>0</v>
      </c>
      <c r="F22" s="65">
        <f>2241+1</f>
        <v>2242</v>
      </c>
      <c r="G22" s="107">
        <f t="shared" si="0"/>
        <v>2242</v>
      </c>
      <c r="H22" s="113">
        <f>G22/G30</f>
        <v>0.12282912397961979</v>
      </c>
    </row>
    <row r="23" spans="1:8" ht="24.75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1</v>
      </c>
      <c r="F23" s="65">
        <v>260</v>
      </c>
      <c r="G23" s="106">
        <f t="shared" si="0"/>
        <v>261</v>
      </c>
      <c r="H23" s="113">
        <f>G23/G30</f>
        <v>1.4299019339286692E-2</v>
      </c>
    </row>
    <row r="24" spans="1:8" ht="15" customHeight="1" x14ac:dyDescent="0.2">
      <c r="A24" s="149">
        <v>18</v>
      </c>
      <c r="B24" s="142" t="s">
        <v>87</v>
      </c>
      <c r="C24" s="132">
        <v>0</v>
      </c>
      <c r="D24" s="64">
        <v>0</v>
      </c>
      <c r="E24" s="65">
        <v>3</v>
      </c>
      <c r="F24" s="65">
        <f>250+1</f>
        <v>251</v>
      </c>
      <c r="G24" s="106">
        <f t="shared" si="0"/>
        <v>254</v>
      </c>
      <c r="H24" s="113">
        <f>G24/G30</f>
        <v>1.3915520736317319E-2</v>
      </c>
    </row>
    <row r="25" spans="1:8" ht="15" customHeight="1" x14ac:dyDescent="0.2">
      <c r="A25" s="149">
        <v>19</v>
      </c>
      <c r="B25" s="142" t="s">
        <v>88</v>
      </c>
      <c r="C25" s="132">
        <v>0</v>
      </c>
      <c r="D25" s="64">
        <v>0</v>
      </c>
      <c r="E25" s="65">
        <v>4</v>
      </c>
      <c r="F25" s="65">
        <v>399</v>
      </c>
      <c r="G25" s="106">
        <f t="shared" si="0"/>
        <v>403</v>
      </c>
      <c r="H25" s="113">
        <f>G25/G30</f>
        <v>2.2078562428094011E-2</v>
      </c>
    </row>
    <row r="26" spans="1:8" ht="39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38</v>
      </c>
      <c r="G26" s="109">
        <f t="shared" si="0"/>
        <v>38</v>
      </c>
      <c r="H26" s="113">
        <f>G26/G30</f>
        <v>2.0818495589766065E-3</v>
      </c>
    </row>
    <row r="27" spans="1:8" ht="1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23</v>
      </c>
      <c r="G27" s="106">
        <f t="shared" si="0"/>
        <v>23</v>
      </c>
      <c r="H27" s="113">
        <f>G27/G30</f>
        <v>1.2600668383279461E-3</v>
      </c>
    </row>
    <row r="28" spans="1:8" ht="15" customHeight="1" x14ac:dyDescent="0.2">
      <c r="A28" s="149">
        <v>22</v>
      </c>
      <c r="B28" s="143" t="s">
        <v>91</v>
      </c>
      <c r="C28" s="132">
        <v>0</v>
      </c>
      <c r="D28" s="64">
        <v>1</v>
      </c>
      <c r="E28" s="65">
        <v>8</v>
      </c>
      <c r="F28" s="65">
        <f>2088+19</f>
        <v>2107</v>
      </c>
      <c r="G28" s="106">
        <f t="shared" si="0"/>
        <v>2116</v>
      </c>
      <c r="H28" s="113">
        <f>G28/G30</f>
        <v>0.11592614912617104</v>
      </c>
    </row>
    <row r="29" spans="1:8" ht="15" customHeight="1" thickBot="1" x14ac:dyDescent="0.25">
      <c r="A29" s="149">
        <v>23</v>
      </c>
      <c r="B29" s="144" t="s">
        <v>92</v>
      </c>
      <c r="C29" s="134">
        <v>0</v>
      </c>
      <c r="D29" s="69">
        <v>0</v>
      </c>
      <c r="E29" s="70">
        <v>0</v>
      </c>
      <c r="F29" s="70">
        <v>7</v>
      </c>
      <c r="G29" s="109">
        <f t="shared" si="0"/>
        <v>7</v>
      </c>
      <c r="H29" s="161">
        <f>G29/G30</f>
        <v>3.8349860296937492E-4</v>
      </c>
    </row>
    <row r="30" spans="1:8" ht="15" customHeight="1" thickBot="1" x14ac:dyDescent="0.25">
      <c r="A30" s="151"/>
      <c r="B30" s="136" t="s">
        <v>6</v>
      </c>
      <c r="C30" s="135">
        <f t="shared" ref="C30:H30" si="1">SUM(C7:C29)</f>
        <v>0</v>
      </c>
      <c r="D30" s="71">
        <f t="shared" si="1"/>
        <v>1</v>
      </c>
      <c r="E30" s="71">
        <f t="shared" si="1"/>
        <v>336</v>
      </c>
      <c r="F30" s="71">
        <f t="shared" si="1"/>
        <v>17916</v>
      </c>
      <c r="G30" s="82">
        <f t="shared" si="1"/>
        <v>18253</v>
      </c>
      <c r="H30" s="160">
        <f t="shared" si="1"/>
        <v>0.99999999999999989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27" t="s">
        <v>145</v>
      </c>
      <c r="B32" s="40"/>
      <c r="F32" s="88" t="s">
        <v>12</v>
      </c>
    </row>
    <row r="33" spans="1:6" x14ac:dyDescent="0.2">
      <c r="A33" s="435">
        <v>42277</v>
      </c>
      <c r="B33" s="435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A3" sqref="A3:G3"/>
    </sheetView>
  </sheetViews>
  <sheetFormatPr defaultRowHeight="12.75" x14ac:dyDescent="0.2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8" x14ac:dyDescent="0.2">
      <c r="A2" s="126" t="s">
        <v>112</v>
      </c>
      <c r="B2" s="25"/>
    </row>
    <row r="3" spans="1:8" ht="27" customHeight="1" x14ac:dyDescent="0.2">
      <c r="A3" s="402" t="s">
        <v>134</v>
      </c>
      <c r="B3" s="402"/>
      <c r="C3" s="402"/>
      <c r="D3" s="402"/>
      <c r="E3" s="402"/>
      <c r="F3" s="402"/>
      <c r="G3" s="402"/>
    </row>
    <row r="4" spans="1:8" ht="16.5" thickBot="1" x14ac:dyDescent="0.3">
      <c r="A4" s="401"/>
      <c r="B4" s="401"/>
      <c r="C4" s="401"/>
    </row>
    <row r="5" spans="1:8" ht="16.5" customHeight="1" x14ac:dyDescent="0.2">
      <c r="A5" s="146"/>
      <c r="B5" s="137"/>
      <c r="C5" s="414" t="s">
        <v>62</v>
      </c>
      <c r="D5" s="404"/>
      <c r="E5" s="404"/>
      <c r="F5" s="404"/>
      <c r="G5" s="404"/>
      <c r="H5" s="162"/>
    </row>
    <row r="6" spans="1:8" x14ac:dyDescent="0.2">
      <c r="A6" s="147" t="s">
        <v>63</v>
      </c>
      <c r="B6" s="138" t="s">
        <v>64</v>
      </c>
      <c r="C6" s="415" t="s">
        <v>65</v>
      </c>
      <c r="D6" s="407"/>
      <c r="E6" s="408" t="s">
        <v>66</v>
      </c>
      <c r="F6" s="408"/>
      <c r="G6" s="375" t="s">
        <v>6</v>
      </c>
      <c r="H6" s="376" t="s">
        <v>116</v>
      </c>
    </row>
    <row r="7" spans="1:8" ht="27" customHeight="1" thickBot="1" x14ac:dyDescent="0.25">
      <c r="A7" s="139"/>
      <c r="B7" s="139"/>
      <c r="C7" s="154" t="s">
        <v>67</v>
      </c>
      <c r="D7" s="108" t="s">
        <v>68</v>
      </c>
      <c r="E7" s="108" t="s">
        <v>68</v>
      </c>
      <c r="F7" s="108" t="s">
        <v>69</v>
      </c>
      <c r="G7" s="436"/>
      <c r="H7" s="437"/>
    </row>
    <row r="8" spans="1:8" ht="15" customHeight="1" x14ac:dyDescent="0.2">
      <c r="A8" s="148">
        <v>1</v>
      </c>
      <c r="B8" s="140" t="s">
        <v>70</v>
      </c>
      <c r="C8" s="131">
        <v>0</v>
      </c>
      <c r="D8" s="83">
        <v>0</v>
      </c>
      <c r="E8" s="95">
        <v>0</v>
      </c>
      <c r="F8" s="95">
        <v>120</v>
      </c>
      <c r="G8" s="81">
        <f>SUM(C8+D8+E8+F8)</f>
        <v>120</v>
      </c>
      <c r="H8" s="112">
        <f>G8/G31</f>
        <v>6.7571372261951684E-3</v>
      </c>
    </row>
    <row r="9" spans="1:8" ht="15" customHeight="1" x14ac:dyDescent="0.2">
      <c r="A9" s="149">
        <v>2</v>
      </c>
      <c r="B9" s="141" t="s">
        <v>71</v>
      </c>
      <c r="C9" s="132">
        <v>0</v>
      </c>
      <c r="D9" s="64">
        <v>0</v>
      </c>
      <c r="E9" s="65">
        <v>0</v>
      </c>
      <c r="F9" s="65">
        <v>23</v>
      </c>
      <c r="G9" s="106">
        <f>SUM(C9+D9+E9+F9)</f>
        <v>23</v>
      </c>
      <c r="H9" s="113">
        <f>G9/G31</f>
        <v>1.2951179683540739E-3</v>
      </c>
    </row>
    <row r="10" spans="1:8" ht="15" customHeight="1" x14ac:dyDescent="0.2">
      <c r="A10" s="149">
        <v>3</v>
      </c>
      <c r="B10" s="141" t="s">
        <v>72</v>
      </c>
      <c r="C10" s="132">
        <v>0</v>
      </c>
      <c r="D10" s="64">
        <v>0</v>
      </c>
      <c r="E10" s="65">
        <v>0</v>
      </c>
      <c r="F10" s="65">
        <v>1226</v>
      </c>
      <c r="G10" s="106">
        <f t="shared" ref="G10:G30" si="0">SUM(C10+D10+E10+F10)</f>
        <v>1226</v>
      </c>
      <c r="H10" s="113">
        <f>G10/G31</f>
        <v>6.9035418660960635E-2</v>
      </c>
    </row>
    <row r="11" spans="1:8" ht="15" customHeight="1" x14ac:dyDescent="0.2">
      <c r="A11" s="149">
        <v>4</v>
      </c>
      <c r="B11" s="141" t="s">
        <v>73</v>
      </c>
      <c r="C11" s="133">
        <v>0</v>
      </c>
      <c r="D11" s="67">
        <v>0</v>
      </c>
      <c r="E11" s="68">
        <v>0</v>
      </c>
      <c r="F11" s="60">
        <v>64</v>
      </c>
      <c r="G11" s="107">
        <f t="shared" si="0"/>
        <v>64</v>
      </c>
      <c r="H11" s="113">
        <f>G11/G31</f>
        <v>3.6038065206374231E-3</v>
      </c>
    </row>
    <row r="12" spans="1:8" ht="23.25" customHeight="1" x14ac:dyDescent="0.2">
      <c r="A12" s="149">
        <v>5</v>
      </c>
      <c r="B12" s="141" t="s">
        <v>74</v>
      </c>
      <c r="C12" s="132">
        <v>0</v>
      </c>
      <c r="D12" s="64">
        <v>0</v>
      </c>
      <c r="E12" s="65">
        <v>0</v>
      </c>
      <c r="F12" s="65">
        <v>5</v>
      </c>
      <c r="G12" s="107">
        <f t="shared" si="0"/>
        <v>5</v>
      </c>
      <c r="H12" s="113">
        <f>G12/G31</f>
        <v>2.8154738442479868E-4</v>
      </c>
    </row>
    <row r="13" spans="1:8" ht="15" customHeight="1" x14ac:dyDescent="0.2">
      <c r="A13" s="149">
        <v>6</v>
      </c>
      <c r="B13" s="141" t="s">
        <v>75</v>
      </c>
      <c r="C13" s="133">
        <v>0</v>
      </c>
      <c r="D13" s="59">
        <v>0</v>
      </c>
      <c r="E13" s="60">
        <v>6</v>
      </c>
      <c r="F13" s="60">
        <f>1656+2</f>
        <v>1658</v>
      </c>
      <c r="G13" s="107">
        <f t="shared" si="0"/>
        <v>1664</v>
      </c>
      <c r="H13" s="113">
        <f>G13/G31</f>
        <v>9.3698969536573001E-2</v>
      </c>
    </row>
    <row r="14" spans="1:8" ht="25.5" customHeight="1" x14ac:dyDescent="0.2">
      <c r="A14" s="149">
        <v>7</v>
      </c>
      <c r="B14" s="141" t="s">
        <v>76</v>
      </c>
      <c r="C14" s="133">
        <v>0</v>
      </c>
      <c r="D14" s="59">
        <v>0</v>
      </c>
      <c r="E14" s="60">
        <v>5</v>
      </c>
      <c r="F14" s="60">
        <f>2978+2</f>
        <v>2980</v>
      </c>
      <c r="G14" s="107">
        <f t="shared" si="0"/>
        <v>2985</v>
      </c>
      <c r="H14" s="113">
        <f>G14/G31</f>
        <v>0.16808378850160482</v>
      </c>
    </row>
    <row r="15" spans="1:8" ht="15" customHeight="1" x14ac:dyDescent="0.2">
      <c r="A15" s="149">
        <v>8</v>
      </c>
      <c r="B15" s="141" t="s">
        <v>77</v>
      </c>
      <c r="C15" s="133">
        <v>0</v>
      </c>
      <c r="D15" s="59">
        <v>0</v>
      </c>
      <c r="E15" s="59">
        <v>1</v>
      </c>
      <c r="F15" s="60">
        <v>827</v>
      </c>
      <c r="G15" s="107">
        <f t="shared" si="0"/>
        <v>828</v>
      </c>
      <c r="H15" s="113">
        <f>G15/G31</f>
        <v>4.6624246860746663E-2</v>
      </c>
    </row>
    <row r="16" spans="1:8" ht="15" customHeight="1" x14ac:dyDescent="0.2">
      <c r="A16" s="149">
        <v>9</v>
      </c>
      <c r="B16" s="141" t="s">
        <v>78</v>
      </c>
      <c r="C16" s="132">
        <v>0</v>
      </c>
      <c r="D16" s="64">
        <v>0</v>
      </c>
      <c r="E16" s="59">
        <v>247</v>
      </c>
      <c r="F16" s="65">
        <f>1432+1</f>
        <v>1433</v>
      </c>
      <c r="G16" s="107">
        <f t="shared" si="0"/>
        <v>1680</v>
      </c>
      <c r="H16" s="113">
        <f>G16/G31</f>
        <v>9.4599921166732368E-2</v>
      </c>
    </row>
    <row r="17" spans="1:8" ht="15" customHeight="1" x14ac:dyDescent="0.2">
      <c r="A17" s="149">
        <v>10</v>
      </c>
      <c r="B17" s="141" t="s">
        <v>79</v>
      </c>
      <c r="C17" s="132">
        <v>0</v>
      </c>
      <c r="D17" s="64">
        <v>0</v>
      </c>
      <c r="E17" s="65">
        <v>0</v>
      </c>
      <c r="F17" s="65">
        <v>450</v>
      </c>
      <c r="G17" s="106">
        <f t="shared" si="0"/>
        <v>450</v>
      </c>
      <c r="H17" s="113">
        <f>G17/G31</f>
        <v>2.5339264598231881E-2</v>
      </c>
    </row>
    <row r="18" spans="1:8" ht="15" customHeight="1" x14ac:dyDescent="0.2">
      <c r="A18" s="149">
        <v>11</v>
      </c>
      <c r="B18" s="141" t="s">
        <v>80</v>
      </c>
      <c r="C18" s="132">
        <v>0</v>
      </c>
      <c r="D18" s="64">
        <v>0</v>
      </c>
      <c r="E18" s="65">
        <v>0</v>
      </c>
      <c r="F18" s="60">
        <f>378+1</f>
        <v>379</v>
      </c>
      <c r="G18" s="107">
        <f t="shared" si="0"/>
        <v>379</v>
      </c>
      <c r="H18" s="113">
        <f>G18/G31</f>
        <v>2.1341291739399741E-2</v>
      </c>
    </row>
    <row r="19" spans="1:8" ht="15" customHeight="1" x14ac:dyDescent="0.2">
      <c r="A19" s="149">
        <v>12</v>
      </c>
      <c r="B19" s="141" t="s">
        <v>81</v>
      </c>
      <c r="C19" s="132">
        <v>0</v>
      </c>
      <c r="D19" s="64">
        <v>0</v>
      </c>
      <c r="E19" s="65">
        <v>1</v>
      </c>
      <c r="F19" s="65">
        <v>68</v>
      </c>
      <c r="G19" s="106">
        <f t="shared" si="0"/>
        <v>69</v>
      </c>
      <c r="H19" s="113">
        <f>G19/G31</f>
        <v>3.885353905062222E-3</v>
      </c>
    </row>
    <row r="20" spans="1:8" ht="15" customHeight="1" x14ac:dyDescent="0.2">
      <c r="A20" s="149">
        <v>13</v>
      </c>
      <c r="B20" s="141" t="s">
        <v>82</v>
      </c>
      <c r="C20" s="132">
        <v>0</v>
      </c>
      <c r="D20" s="64">
        <v>0</v>
      </c>
      <c r="E20" s="65">
        <v>1</v>
      </c>
      <c r="F20" s="65">
        <v>759</v>
      </c>
      <c r="G20" s="106">
        <f t="shared" si="0"/>
        <v>760</v>
      </c>
      <c r="H20" s="113">
        <f>G20/G31</f>
        <v>4.2795202432569401E-2</v>
      </c>
    </row>
    <row r="21" spans="1:8" ht="15" customHeight="1" x14ac:dyDescent="0.2">
      <c r="A21" s="149">
        <v>14</v>
      </c>
      <c r="B21" s="141" t="s">
        <v>83</v>
      </c>
      <c r="C21" s="132">
        <v>0</v>
      </c>
      <c r="D21" s="64">
        <v>0</v>
      </c>
      <c r="E21" s="65">
        <v>2</v>
      </c>
      <c r="F21" s="65">
        <v>348</v>
      </c>
      <c r="G21" s="106">
        <f t="shared" si="0"/>
        <v>350</v>
      </c>
      <c r="H21" s="113">
        <f>G21/G31</f>
        <v>1.9708316909735908E-2</v>
      </c>
    </row>
    <row r="22" spans="1:8" ht="15" customHeight="1" x14ac:dyDescent="0.2">
      <c r="A22" s="150">
        <v>15</v>
      </c>
      <c r="B22" s="141" t="s">
        <v>84</v>
      </c>
      <c r="C22" s="132">
        <v>0</v>
      </c>
      <c r="D22" s="64">
        <v>0</v>
      </c>
      <c r="E22" s="65">
        <v>0</v>
      </c>
      <c r="F22" s="65">
        <f>1750+1</f>
        <v>1751</v>
      </c>
      <c r="G22" s="106">
        <f t="shared" si="0"/>
        <v>1751</v>
      </c>
      <c r="H22" s="113">
        <f>G22/G31</f>
        <v>9.85978940255645E-2</v>
      </c>
    </row>
    <row r="23" spans="1:8" ht="15" customHeight="1" x14ac:dyDescent="0.2">
      <c r="A23" s="149">
        <v>16</v>
      </c>
      <c r="B23" s="141" t="s">
        <v>85</v>
      </c>
      <c r="C23" s="132">
        <v>0</v>
      </c>
      <c r="D23" s="64">
        <v>0</v>
      </c>
      <c r="E23" s="65">
        <v>0</v>
      </c>
      <c r="F23" s="65">
        <f>2343+3</f>
        <v>2346</v>
      </c>
      <c r="G23" s="107">
        <f t="shared" si="0"/>
        <v>2346</v>
      </c>
      <c r="H23" s="113">
        <f>G23/G31</f>
        <v>0.13210203277211555</v>
      </c>
    </row>
    <row r="24" spans="1:8" ht="23.25" customHeight="1" x14ac:dyDescent="0.2">
      <c r="A24" s="150">
        <v>17</v>
      </c>
      <c r="B24" s="141" t="s">
        <v>86</v>
      </c>
      <c r="C24" s="132">
        <v>0</v>
      </c>
      <c r="D24" s="64">
        <v>0</v>
      </c>
      <c r="E24" s="65">
        <v>1</v>
      </c>
      <c r="F24" s="65">
        <v>273</v>
      </c>
      <c r="G24" s="106">
        <f t="shared" si="0"/>
        <v>274</v>
      </c>
      <c r="H24" s="113">
        <f>G24/G31</f>
        <v>1.5428796666478969E-2</v>
      </c>
    </row>
    <row r="25" spans="1:8" ht="15" customHeight="1" x14ac:dyDescent="0.2">
      <c r="A25" s="149">
        <v>18</v>
      </c>
      <c r="B25" s="142" t="s">
        <v>87</v>
      </c>
      <c r="C25" s="132">
        <v>0</v>
      </c>
      <c r="D25" s="64">
        <v>0</v>
      </c>
      <c r="E25" s="65">
        <v>1</v>
      </c>
      <c r="F25" s="65">
        <f>241+1</f>
        <v>242</v>
      </c>
      <c r="G25" s="106">
        <f t="shared" si="0"/>
        <v>243</v>
      </c>
      <c r="H25" s="113">
        <f>G25/G31</f>
        <v>1.3683202883045217E-2</v>
      </c>
    </row>
    <row r="26" spans="1:8" ht="15" customHeight="1" x14ac:dyDescent="0.2">
      <c r="A26" s="149">
        <v>19</v>
      </c>
      <c r="B26" s="142" t="s">
        <v>88</v>
      </c>
      <c r="C26" s="132">
        <v>0</v>
      </c>
      <c r="D26" s="64">
        <v>0</v>
      </c>
      <c r="E26" s="65">
        <v>2</v>
      </c>
      <c r="F26" s="65">
        <v>401</v>
      </c>
      <c r="G26" s="106">
        <f t="shared" si="0"/>
        <v>403</v>
      </c>
      <c r="H26" s="113">
        <f>G26/G31</f>
        <v>2.2692719184638773E-2</v>
      </c>
    </row>
    <row r="27" spans="1:8" ht="35.25" customHeight="1" x14ac:dyDescent="0.2">
      <c r="A27" s="150">
        <v>20</v>
      </c>
      <c r="B27" s="142" t="s">
        <v>89</v>
      </c>
      <c r="C27" s="132">
        <v>0</v>
      </c>
      <c r="D27" s="64">
        <v>0</v>
      </c>
      <c r="E27" s="65">
        <v>0</v>
      </c>
      <c r="F27" s="65">
        <v>33</v>
      </c>
      <c r="G27" s="109">
        <f t="shared" si="0"/>
        <v>33</v>
      </c>
      <c r="H27" s="113">
        <f>G27/G31</f>
        <v>1.8582127372036713E-3</v>
      </c>
    </row>
    <row r="28" spans="1:8" ht="15" customHeight="1" x14ac:dyDescent="0.2">
      <c r="A28" s="149">
        <v>21</v>
      </c>
      <c r="B28" s="142" t="s">
        <v>90</v>
      </c>
      <c r="C28" s="132">
        <v>0</v>
      </c>
      <c r="D28" s="64">
        <v>0</v>
      </c>
      <c r="E28" s="65">
        <v>0</v>
      </c>
      <c r="F28" s="65">
        <v>25</v>
      </c>
      <c r="G28" s="106">
        <f t="shared" si="0"/>
        <v>25</v>
      </c>
      <c r="H28" s="113">
        <f>G28/G31</f>
        <v>1.4077369221239934E-3</v>
      </c>
    </row>
    <row r="29" spans="1:8" ht="15" customHeight="1" x14ac:dyDescent="0.2">
      <c r="A29" s="149">
        <v>22</v>
      </c>
      <c r="B29" s="143" t="s">
        <v>91</v>
      </c>
      <c r="C29" s="132">
        <v>0</v>
      </c>
      <c r="D29" s="64">
        <v>1</v>
      </c>
      <c r="E29" s="65">
        <v>8</v>
      </c>
      <c r="F29" s="65">
        <f>2049+17</f>
        <v>2066</v>
      </c>
      <c r="G29" s="106">
        <f t="shared" si="0"/>
        <v>2075</v>
      </c>
      <c r="H29" s="113">
        <f>G29/G31</f>
        <v>0.11684216453629145</v>
      </c>
    </row>
    <row r="30" spans="1:8" ht="15" customHeight="1" thickBot="1" x14ac:dyDescent="0.25">
      <c r="A30" s="149">
        <v>23</v>
      </c>
      <c r="B30" s="144" t="s">
        <v>92</v>
      </c>
      <c r="C30" s="134">
        <v>0</v>
      </c>
      <c r="D30" s="69">
        <v>0</v>
      </c>
      <c r="E30" s="70">
        <v>0</v>
      </c>
      <c r="F30" s="70">
        <v>6</v>
      </c>
      <c r="G30" s="109">
        <f t="shared" si="0"/>
        <v>6</v>
      </c>
      <c r="H30" s="114">
        <f>G30/G31</f>
        <v>3.3785686130975842E-4</v>
      </c>
    </row>
    <row r="31" spans="1:8" ht="15" customHeight="1" thickBot="1" x14ac:dyDescent="0.25">
      <c r="A31" s="151"/>
      <c r="B31" s="136" t="s">
        <v>6</v>
      </c>
      <c r="C31" s="135">
        <f>SUM(C8:C30)</f>
        <v>0</v>
      </c>
      <c r="D31" s="71">
        <f t="shared" ref="D31:H31" si="1">SUM(D8:D30)</f>
        <v>1</v>
      </c>
      <c r="E31" s="71">
        <f t="shared" si="1"/>
        <v>275</v>
      </c>
      <c r="F31" s="71">
        <f t="shared" si="1"/>
        <v>17483</v>
      </c>
      <c r="G31" s="72">
        <f t="shared" si="1"/>
        <v>17759</v>
      </c>
      <c r="H31" s="160">
        <f t="shared" si="1"/>
        <v>1</v>
      </c>
    </row>
    <row r="32" spans="1:8" x14ac:dyDescent="0.2">
      <c r="A32" s="75"/>
      <c r="B32" s="76"/>
      <c r="C32" s="77"/>
      <c r="D32" s="77"/>
      <c r="E32" s="77"/>
      <c r="F32" s="77"/>
      <c r="G32" s="77"/>
    </row>
    <row r="33" spans="1:6" x14ac:dyDescent="0.2">
      <c r="A33" s="327" t="s">
        <v>145</v>
      </c>
      <c r="B33" s="40"/>
      <c r="F33" s="88" t="s">
        <v>12</v>
      </c>
    </row>
    <row r="34" spans="1:6" x14ac:dyDescent="0.2">
      <c r="A34" s="429">
        <v>42296</v>
      </c>
      <c r="B34" s="429"/>
      <c r="F34" s="88" t="s">
        <v>93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C7" sqref="C7:H30"/>
    </sheetView>
  </sheetViews>
  <sheetFormatPr defaultRowHeight="12.75" x14ac:dyDescent="0.2"/>
  <cols>
    <col min="1" max="1" width="5.42578125" customWidth="1"/>
    <col min="2" max="2" width="60.85546875" customWidth="1"/>
    <col min="3" max="7" width="12.7109375" customWidth="1"/>
    <col min="8" max="8" width="12.85546875" customWidth="1"/>
  </cols>
  <sheetData>
    <row r="1" spans="1:8" x14ac:dyDescent="0.2">
      <c r="A1" s="126" t="s">
        <v>113</v>
      </c>
      <c r="B1" s="25"/>
    </row>
    <row r="2" spans="1:8" ht="26.25" customHeight="1" x14ac:dyDescent="0.25">
      <c r="A2" s="438" t="s">
        <v>133</v>
      </c>
      <c r="B2" s="438"/>
      <c r="C2" s="438"/>
      <c r="D2" s="438"/>
      <c r="E2" s="438"/>
      <c r="F2" s="438"/>
      <c r="G2" s="438"/>
    </row>
    <row r="3" spans="1:8" ht="11.25" customHeight="1" thickBot="1" x14ac:dyDescent="0.3">
      <c r="A3" s="401"/>
      <c r="B3" s="401"/>
      <c r="C3" s="401"/>
    </row>
    <row r="4" spans="1:8" ht="14.25" customHeight="1" x14ac:dyDescent="0.2">
      <c r="A4" s="146"/>
      <c r="B4" s="137"/>
      <c r="C4" s="414" t="s">
        <v>62</v>
      </c>
      <c r="D4" s="404"/>
      <c r="E4" s="404"/>
      <c r="F4" s="404"/>
      <c r="G4" s="404"/>
      <c r="H4" s="405"/>
    </row>
    <row r="5" spans="1:8" ht="13.5" customHeight="1" x14ac:dyDescent="0.2">
      <c r="A5" s="147" t="s">
        <v>63</v>
      </c>
      <c r="B5" s="138" t="s">
        <v>64</v>
      </c>
      <c r="C5" s="415" t="s">
        <v>65</v>
      </c>
      <c r="D5" s="407"/>
      <c r="E5" s="408" t="s">
        <v>66</v>
      </c>
      <c r="F5" s="408"/>
      <c r="G5" s="375" t="s">
        <v>6</v>
      </c>
      <c r="H5" s="376" t="s">
        <v>116</v>
      </c>
    </row>
    <row r="6" spans="1:8" ht="24" customHeight="1" thickBot="1" x14ac:dyDescent="0.25">
      <c r="A6" s="139"/>
      <c r="B6" s="139"/>
      <c r="C6" s="154" t="s">
        <v>67</v>
      </c>
      <c r="D6" s="108" t="s">
        <v>68</v>
      </c>
      <c r="E6" s="108" t="s">
        <v>68</v>
      </c>
      <c r="F6" s="108" t="s">
        <v>69</v>
      </c>
      <c r="G6" s="436"/>
      <c r="H6" s="437"/>
    </row>
    <row r="7" spans="1:8" ht="14.25" customHeight="1" x14ac:dyDescent="0.2">
      <c r="A7" s="148">
        <v>1</v>
      </c>
      <c r="B7" s="140" t="s">
        <v>70</v>
      </c>
      <c r="C7" s="131">
        <v>0</v>
      </c>
      <c r="D7" s="83">
        <v>0</v>
      </c>
      <c r="E7" s="95">
        <v>0</v>
      </c>
      <c r="F7" s="95">
        <v>119</v>
      </c>
      <c r="G7" s="81">
        <f>SUM(C7+D7+E7+F7)</f>
        <v>119</v>
      </c>
      <c r="H7" s="112">
        <f>G7/G30</f>
        <v>7.3766426977436156E-3</v>
      </c>
    </row>
    <row r="8" spans="1:8" ht="14.2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26</v>
      </c>
      <c r="G8" s="106">
        <f>SUM(C8+D8+E8+F8)</f>
        <v>26</v>
      </c>
      <c r="H8" s="113">
        <f>G8/G30</f>
        <v>1.611703446565832E-3</v>
      </c>
    </row>
    <row r="9" spans="1:8" ht="12.75" customHeight="1" x14ac:dyDescent="0.2">
      <c r="A9" s="149">
        <v>3</v>
      </c>
      <c r="B9" s="141" t="s">
        <v>72</v>
      </c>
      <c r="C9" s="132">
        <v>19</v>
      </c>
      <c r="D9" s="64">
        <v>0</v>
      </c>
      <c r="E9" s="65">
        <v>0</v>
      </c>
      <c r="F9" s="65">
        <f>1255+1</f>
        <v>1256</v>
      </c>
      <c r="G9" s="106">
        <f>SUM(C9+D9+E9+F9)</f>
        <v>1275</v>
      </c>
      <c r="H9" s="113">
        <f>G9/G30</f>
        <v>7.9035457475824453E-2</v>
      </c>
    </row>
    <row r="10" spans="1:8" ht="1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63</v>
      </c>
      <c r="G10" s="107">
        <f t="shared" ref="G10:G29" si="0">SUM(C10+D10+E10+F10)</f>
        <v>63</v>
      </c>
      <c r="H10" s="113">
        <f>G10/G30</f>
        <v>3.9052814282172083E-3</v>
      </c>
    </row>
    <row r="11" spans="1:8" ht="24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4</v>
      </c>
      <c r="G11" s="107">
        <f t="shared" si="0"/>
        <v>4</v>
      </c>
      <c r="H11" s="113">
        <f>G11/G30</f>
        <v>2.4795437639474338E-4</v>
      </c>
    </row>
    <row r="12" spans="1:8" ht="12.75" customHeight="1" x14ac:dyDescent="0.2">
      <c r="A12" s="149">
        <v>6</v>
      </c>
      <c r="B12" s="141" t="s">
        <v>75</v>
      </c>
      <c r="C12" s="133">
        <v>0</v>
      </c>
      <c r="D12" s="59">
        <v>0</v>
      </c>
      <c r="E12" s="60">
        <v>9</v>
      </c>
      <c r="F12" s="60">
        <f>1611+1</f>
        <v>1612</v>
      </c>
      <c r="G12" s="107">
        <f t="shared" si="0"/>
        <v>1621</v>
      </c>
      <c r="H12" s="113">
        <f>G12/G30</f>
        <v>0.10048351103396976</v>
      </c>
    </row>
    <row r="13" spans="1:8" ht="24" customHeight="1" x14ac:dyDescent="0.2">
      <c r="A13" s="149">
        <v>7</v>
      </c>
      <c r="B13" s="141" t="s">
        <v>76</v>
      </c>
      <c r="C13" s="133">
        <v>0</v>
      </c>
      <c r="D13" s="59">
        <v>0</v>
      </c>
      <c r="E13" s="60">
        <v>6</v>
      </c>
      <c r="F13" s="60">
        <f>2984+2</f>
        <v>2986</v>
      </c>
      <c r="G13" s="107">
        <f t="shared" si="0"/>
        <v>2992</v>
      </c>
      <c r="H13" s="113">
        <f>G13/G30</f>
        <v>0.18546987354326805</v>
      </c>
    </row>
    <row r="14" spans="1:8" ht="14.25" customHeight="1" x14ac:dyDescent="0.2">
      <c r="A14" s="149">
        <v>8</v>
      </c>
      <c r="B14" s="141" t="s">
        <v>77</v>
      </c>
      <c r="C14" s="133">
        <v>0</v>
      </c>
      <c r="D14" s="59">
        <v>0</v>
      </c>
      <c r="E14" s="59">
        <v>2</v>
      </c>
      <c r="F14" s="60">
        <v>785</v>
      </c>
      <c r="G14" s="107">
        <f t="shared" si="0"/>
        <v>787</v>
      </c>
      <c r="H14" s="113">
        <f>G14/G30</f>
        <v>4.878502355566576E-2</v>
      </c>
    </row>
    <row r="15" spans="1:8" ht="24" customHeight="1" x14ac:dyDescent="0.2">
      <c r="A15" s="149">
        <v>9</v>
      </c>
      <c r="B15" s="141" t="s">
        <v>78</v>
      </c>
      <c r="C15" s="132">
        <v>0</v>
      </c>
      <c r="D15" s="64">
        <v>0</v>
      </c>
      <c r="E15" s="59">
        <v>259</v>
      </c>
      <c r="F15" s="65">
        <f>1424+1</f>
        <v>1425</v>
      </c>
      <c r="G15" s="107">
        <f t="shared" si="0"/>
        <v>1684</v>
      </c>
      <c r="H15" s="113">
        <f>G15/G30</f>
        <v>0.10438879246218696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0</v>
      </c>
      <c r="F16" s="65">
        <v>404</v>
      </c>
      <c r="G16" s="106">
        <f t="shared" si="0"/>
        <v>404</v>
      </c>
      <c r="H16" s="113">
        <f>G16/G30</f>
        <v>2.5043392015869081E-2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f>361+1</f>
        <v>362</v>
      </c>
      <c r="G17" s="107">
        <f t="shared" si="0"/>
        <v>362</v>
      </c>
      <c r="H17" s="113">
        <f>G17/G30</f>
        <v>2.2439871063724276E-2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0</v>
      </c>
      <c r="E18" s="65">
        <v>2</v>
      </c>
      <c r="F18" s="65">
        <v>72</v>
      </c>
      <c r="G18" s="106">
        <f t="shared" si="0"/>
        <v>74</v>
      </c>
      <c r="H18" s="113">
        <f>G18/G30</f>
        <v>4.5871559633027525E-3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1</v>
      </c>
      <c r="F19" s="65">
        <f>742+1</f>
        <v>743</v>
      </c>
      <c r="G19" s="106">
        <f t="shared" si="0"/>
        <v>744</v>
      </c>
      <c r="H19" s="113">
        <f>G19/G30</f>
        <v>4.6119514009422269E-2</v>
      </c>
    </row>
    <row r="20" spans="1:8" ht="14.25" customHeight="1" x14ac:dyDescent="0.2">
      <c r="A20" s="149">
        <v>14</v>
      </c>
      <c r="B20" s="141" t="s">
        <v>83</v>
      </c>
      <c r="C20" s="132">
        <v>0</v>
      </c>
      <c r="D20" s="64">
        <v>0</v>
      </c>
      <c r="E20" s="65">
        <v>1</v>
      </c>
      <c r="F20" s="65">
        <v>350</v>
      </c>
      <c r="G20" s="106">
        <f t="shared" si="0"/>
        <v>351</v>
      </c>
      <c r="H20" s="113">
        <f>G20/G30</f>
        <v>2.1757996528638732E-2</v>
      </c>
    </row>
    <row r="21" spans="1:8" ht="13.5" customHeight="1" x14ac:dyDescent="0.2">
      <c r="A21" s="150">
        <v>15</v>
      </c>
      <c r="B21" s="141" t="s">
        <v>84</v>
      </c>
      <c r="C21" s="132">
        <v>0</v>
      </c>
      <c r="D21" s="64">
        <v>0</v>
      </c>
      <c r="E21" s="65">
        <v>0</v>
      </c>
      <c r="F21" s="65">
        <f>1330+2</f>
        <v>1332</v>
      </c>
      <c r="G21" s="106">
        <f t="shared" si="0"/>
        <v>1332</v>
      </c>
      <c r="H21" s="113">
        <f>G21/G30</f>
        <v>8.2568807339449546E-2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0</v>
      </c>
      <c r="E22" s="65">
        <v>0</v>
      </c>
      <c r="F22" s="65">
        <f>1338+3</f>
        <v>1341</v>
      </c>
      <c r="G22" s="107">
        <f t="shared" si="0"/>
        <v>1341</v>
      </c>
      <c r="H22" s="113">
        <f>G22/G30</f>
        <v>8.3126704686337718E-2</v>
      </c>
    </row>
    <row r="23" spans="1:8" ht="24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1</v>
      </c>
      <c r="F23" s="65">
        <v>274</v>
      </c>
      <c r="G23" s="106">
        <f t="shared" si="0"/>
        <v>275</v>
      </c>
      <c r="H23" s="113">
        <f>G23/G30</f>
        <v>1.7046863377138607E-2</v>
      </c>
    </row>
    <row r="24" spans="1:8" ht="17.25" customHeight="1" x14ac:dyDescent="0.2">
      <c r="A24" s="149">
        <v>18</v>
      </c>
      <c r="B24" s="142" t="s">
        <v>87</v>
      </c>
      <c r="C24" s="132">
        <v>0</v>
      </c>
      <c r="D24" s="64">
        <v>0</v>
      </c>
      <c r="E24" s="65">
        <v>2</v>
      </c>
      <c r="F24" s="65">
        <f>226+1</f>
        <v>227</v>
      </c>
      <c r="G24" s="106">
        <f t="shared" si="0"/>
        <v>229</v>
      </c>
      <c r="H24" s="113">
        <f>G24/G30</f>
        <v>1.4195388048599059E-2</v>
      </c>
    </row>
    <row r="25" spans="1:8" ht="15.75" customHeight="1" x14ac:dyDescent="0.2">
      <c r="A25" s="149">
        <v>19</v>
      </c>
      <c r="B25" s="142" t="s">
        <v>88</v>
      </c>
      <c r="C25" s="132">
        <v>0</v>
      </c>
      <c r="D25" s="64">
        <v>0</v>
      </c>
      <c r="E25" s="65">
        <v>2</v>
      </c>
      <c r="F25" s="65">
        <v>341</v>
      </c>
      <c r="G25" s="106">
        <f t="shared" si="0"/>
        <v>343</v>
      </c>
      <c r="H25" s="113">
        <f>G25/G30</f>
        <v>2.1262087775849245E-2</v>
      </c>
    </row>
    <row r="26" spans="1:8" ht="24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28</v>
      </c>
      <c r="G26" s="109">
        <f t="shared" si="0"/>
        <v>28</v>
      </c>
      <c r="H26" s="113">
        <f>G26/G30</f>
        <v>1.7356806347632037E-3</v>
      </c>
    </row>
    <row r="27" spans="1:8" ht="16.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23</v>
      </c>
      <c r="G27" s="106">
        <f t="shared" si="0"/>
        <v>23</v>
      </c>
      <c r="H27" s="113">
        <f>G27/G30</f>
        <v>1.4257376642697744E-3</v>
      </c>
    </row>
    <row r="28" spans="1:8" ht="14.25" customHeight="1" x14ac:dyDescent="0.2">
      <c r="A28" s="149">
        <v>22</v>
      </c>
      <c r="B28" s="143" t="s">
        <v>91</v>
      </c>
      <c r="C28" s="132">
        <v>0</v>
      </c>
      <c r="D28" s="64">
        <v>0</v>
      </c>
      <c r="E28" s="65">
        <v>6</v>
      </c>
      <c r="F28" s="65">
        <f>2022+23</f>
        <v>2045</v>
      </c>
      <c r="G28" s="106">
        <f t="shared" si="0"/>
        <v>2051</v>
      </c>
      <c r="H28" s="113">
        <f>G28/G30</f>
        <v>0.12713860649640465</v>
      </c>
    </row>
    <row r="29" spans="1:8" ht="15" customHeight="1" thickBot="1" x14ac:dyDescent="0.25">
      <c r="A29" s="149">
        <v>23</v>
      </c>
      <c r="B29" s="144" t="s">
        <v>92</v>
      </c>
      <c r="C29" s="134">
        <v>0</v>
      </c>
      <c r="D29" s="69">
        <v>0</v>
      </c>
      <c r="E29" s="70">
        <v>0</v>
      </c>
      <c r="F29" s="70">
        <v>4</v>
      </c>
      <c r="G29" s="109">
        <f t="shared" si="0"/>
        <v>4</v>
      </c>
      <c r="H29" s="161">
        <f>G29/G30</f>
        <v>2.4795437639474338E-4</v>
      </c>
    </row>
    <row r="30" spans="1:8" ht="24" customHeight="1" thickBot="1" x14ac:dyDescent="0.25">
      <c r="A30" s="151"/>
      <c r="B30" s="136" t="s">
        <v>6</v>
      </c>
      <c r="C30" s="135">
        <f t="shared" ref="C30:H30" si="1">SUM(C7:C29)</f>
        <v>19</v>
      </c>
      <c r="D30" s="71">
        <f t="shared" si="1"/>
        <v>0</v>
      </c>
      <c r="E30" s="71">
        <f t="shared" si="1"/>
        <v>291</v>
      </c>
      <c r="F30" s="71">
        <f t="shared" si="1"/>
        <v>15822</v>
      </c>
      <c r="G30" s="72">
        <f t="shared" si="1"/>
        <v>16132</v>
      </c>
      <c r="H30" s="163">
        <f t="shared" si="1"/>
        <v>1.0000000000000002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27" t="s">
        <v>145</v>
      </c>
      <c r="B32" s="40"/>
      <c r="F32" s="88" t="s">
        <v>12</v>
      </c>
    </row>
    <row r="33" spans="1:6" x14ac:dyDescent="0.2">
      <c r="A33" s="429">
        <v>42353</v>
      </c>
      <c r="B33" s="429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40" sqref="B40"/>
    </sheetView>
  </sheetViews>
  <sheetFormatPr defaultRowHeight="12.75" x14ac:dyDescent="0.2"/>
  <cols>
    <col min="1" max="1" width="5.42578125" customWidth="1"/>
    <col min="2" max="2" width="53.28515625" customWidth="1"/>
    <col min="3" max="7" width="12.7109375" customWidth="1"/>
    <col min="8" max="8" width="11.140625" customWidth="1"/>
  </cols>
  <sheetData>
    <row r="1" spans="1:8" x14ac:dyDescent="0.2">
      <c r="A1" s="126" t="s">
        <v>114</v>
      </c>
      <c r="B1" s="25"/>
    </row>
    <row r="2" spans="1:8" ht="30.75" customHeight="1" x14ac:dyDescent="0.25">
      <c r="A2" s="438" t="s">
        <v>132</v>
      </c>
      <c r="B2" s="438"/>
      <c r="C2" s="438"/>
      <c r="D2" s="438"/>
      <c r="E2" s="438"/>
      <c r="F2" s="438"/>
      <c r="G2" s="438"/>
    </row>
    <row r="3" spans="1:8" ht="11.25" customHeight="1" thickBot="1" x14ac:dyDescent="0.3">
      <c r="A3" s="401"/>
      <c r="B3" s="401"/>
      <c r="C3" s="401"/>
    </row>
    <row r="4" spans="1:8" ht="14.25" customHeight="1" x14ac:dyDescent="0.2">
      <c r="A4" s="146"/>
      <c r="B4" s="137"/>
      <c r="C4" s="414" t="s">
        <v>62</v>
      </c>
      <c r="D4" s="404"/>
      <c r="E4" s="404"/>
      <c r="F4" s="404"/>
      <c r="G4" s="404"/>
      <c r="H4" s="405"/>
    </row>
    <row r="5" spans="1:8" ht="13.5" customHeight="1" x14ac:dyDescent="0.2">
      <c r="A5" s="147" t="s">
        <v>63</v>
      </c>
      <c r="B5" s="138" t="s">
        <v>64</v>
      </c>
      <c r="C5" s="415" t="s">
        <v>65</v>
      </c>
      <c r="D5" s="407"/>
      <c r="E5" s="408" t="s">
        <v>66</v>
      </c>
      <c r="F5" s="408"/>
      <c r="G5" s="375" t="s">
        <v>6</v>
      </c>
      <c r="H5" s="376" t="s">
        <v>116</v>
      </c>
    </row>
    <row r="6" spans="1:8" ht="24" customHeight="1" thickBot="1" x14ac:dyDescent="0.25">
      <c r="A6" s="139"/>
      <c r="B6" s="139"/>
      <c r="C6" s="154" t="s">
        <v>67</v>
      </c>
      <c r="D6" s="108" t="s">
        <v>68</v>
      </c>
      <c r="E6" s="108" t="s">
        <v>68</v>
      </c>
      <c r="F6" s="108" t="s">
        <v>69</v>
      </c>
      <c r="G6" s="436"/>
      <c r="H6" s="437"/>
    </row>
    <row r="7" spans="1:8" ht="14.25" customHeight="1" x14ac:dyDescent="0.2">
      <c r="A7" s="148">
        <v>1</v>
      </c>
      <c r="B7" s="140" t="s">
        <v>70</v>
      </c>
      <c r="C7" s="131">
        <v>0</v>
      </c>
      <c r="D7" s="83">
        <v>0</v>
      </c>
      <c r="E7" s="95">
        <v>0</v>
      </c>
      <c r="F7" s="95">
        <v>122</v>
      </c>
      <c r="G7" s="83">
        <f>SUM(C7+D7+E7+F7)</f>
        <v>122</v>
      </c>
      <c r="H7" s="153">
        <f>G7/G30</f>
        <v>8.6328898952731398E-3</v>
      </c>
    </row>
    <row r="8" spans="1:8" ht="14.2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23</v>
      </c>
      <c r="G8" s="64">
        <f>SUM(C8+D8+E8+F8)</f>
        <v>23</v>
      </c>
      <c r="H8" s="113">
        <f>G8/G30</f>
        <v>1.6275120294367393E-3</v>
      </c>
    </row>
    <row r="9" spans="1:8" ht="12.75" customHeight="1" x14ac:dyDescent="0.2">
      <c r="A9" s="149">
        <v>3</v>
      </c>
      <c r="B9" s="141" t="s">
        <v>72</v>
      </c>
      <c r="C9" s="132">
        <v>25</v>
      </c>
      <c r="D9" s="64">
        <v>0</v>
      </c>
      <c r="E9" s="65">
        <v>0</v>
      </c>
      <c r="F9" s="65">
        <f>1239+1</f>
        <v>1240</v>
      </c>
      <c r="G9" s="64">
        <f t="shared" ref="G9:G29" si="0">SUM(C9+D9+E9+F9)</f>
        <v>1265</v>
      </c>
      <c r="H9" s="113">
        <f>G9/G30</f>
        <v>8.9513161619020662E-2</v>
      </c>
    </row>
    <row r="10" spans="1:8" ht="1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65</v>
      </c>
      <c r="G10" s="59">
        <f t="shared" si="0"/>
        <v>65</v>
      </c>
      <c r="H10" s="113">
        <f>G10/G30</f>
        <v>4.5994905179733937E-3</v>
      </c>
    </row>
    <row r="11" spans="1:8" ht="24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5</v>
      </c>
      <c r="G11" s="59">
        <f t="shared" si="0"/>
        <v>5</v>
      </c>
      <c r="H11" s="113">
        <f>G11/G30</f>
        <v>3.5380696292103026E-4</v>
      </c>
    </row>
    <row r="12" spans="1:8" ht="12.75" customHeight="1" x14ac:dyDescent="0.2">
      <c r="A12" s="149">
        <v>6</v>
      </c>
      <c r="B12" s="141" t="s">
        <v>75</v>
      </c>
      <c r="C12" s="133">
        <v>0</v>
      </c>
      <c r="D12" s="59">
        <v>0</v>
      </c>
      <c r="E12" s="60">
        <v>10</v>
      </c>
      <c r="F12" s="60">
        <f>1535+1</f>
        <v>1536</v>
      </c>
      <c r="G12" s="59">
        <f t="shared" si="0"/>
        <v>1546</v>
      </c>
      <c r="H12" s="113">
        <f>G12/G30</f>
        <v>0.10939711293518256</v>
      </c>
    </row>
    <row r="13" spans="1:8" ht="24" customHeight="1" x14ac:dyDescent="0.2">
      <c r="A13" s="149">
        <v>7</v>
      </c>
      <c r="B13" s="141" t="s">
        <v>76</v>
      </c>
      <c r="C13" s="133">
        <v>0</v>
      </c>
      <c r="D13" s="59">
        <v>0</v>
      </c>
      <c r="E13" s="60">
        <v>5</v>
      </c>
      <c r="F13" s="60">
        <f>2967+6</f>
        <v>2973</v>
      </c>
      <c r="G13" s="59">
        <f t="shared" si="0"/>
        <v>2978</v>
      </c>
      <c r="H13" s="113">
        <f>G13/G30</f>
        <v>0.21072742711576564</v>
      </c>
    </row>
    <row r="14" spans="1:8" ht="14.25" customHeight="1" x14ac:dyDescent="0.2">
      <c r="A14" s="149">
        <v>8</v>
      </c>
      <c r="B14" s="141" t="s">
        <v>77</v>
      </c>
      <c r="C14" s="133">
        <v>0</v>
      </c>
      <c r="D14" s="59">
        <v>0</v>
      </c>
      <c r="E14" s="59">
        <v>2</v>
      </c>
      <c r="F14" s="60">
        <v>718</v>
      </c>
      <c r="G14" s="59">
        <f t="shared" si="0"/>
        <v>720</v>
      </c>
      <c r="H14" s="113">
        <f>G14/G30</f>
        <v>5.0948202660628363E-2</v>
      </c>
    </row>
    <row r="15" spans="1:8" ht="24" customHeight="1" x14ac:dyDescent="0.2">
      <c r="A15" s="149">
        <v>9</v>
      </c>
      <c r="B15" s="141" t="s">
        <v>78</v>
      </c>
      <c r="C15" s="132">
        <v>0</v>
      </c>
      <c r="D15" s="64">
        <v>0</v>
      </c>
      <c r="E15" s="59">
        <v>460</v>
      </c>
      <c r="F15" s="65">
        <f>1524+2</f>
        <v>1526</v>
      </c>
      <c r="G15" s="59">
        <f t="shared" si="0"/>
        <v>1986</v>
      </c>
      <c r="H15" s="113">
        <f>G15/G30</f>
        <v>0.14053212567223322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0</v>
      </c>
      <c r="F16" s="65">
        <v>356</v>
      </c>
      <c r="G16" s="64">
        <f t="shared" si="0"/>
        <v>356</v>
      </c>
      <c r="H16" s="113">
        <f>G16/G30</f>
        <v>2.5191055759977356E-2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v>339</v>
      </c>
      <c r="G17" s="59">
        <f t="shared" si="0"/>
        <v>339</v>
      </c>
      <c r="H17" s="113">
        <f>G17/G30</f>
        <v>2.3988112086045853E-2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0</v>
      </c>
      <c r="E18" s="65">
        <v>3</v>
      </c>
      <c r="F18" s="65">
        <v>79</v>
      </c>
      <c r="G18" s="64">
        <f t="shared" si="0"/>
        <v>82</v>
      </c>
      <c r="H18" s="113">
        <f>G18/G30</f>
        <v>5.8024341919048969E-3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1</v>
      </c>
      <c r="F19" s="65">
        <v>738</v>
      </c>
      <c r="G19" s="64">
        <f t="shared" si="0"/>
        <v>739</v>
      </c>
      <c r="H19" s="113">
        <f>G19/G30</f>
        <v>5.2292669119728276E-2</v>
      </c>
    </row>
    <row r="20" spans="1:8" ht="14.25" customHeight="1" x14ac:dyDescent="0.2">
      <c r="A20" s="149">
        <v>14</v>
      </c>
      <c r="B20" s="141" t="s">
        <v>83</v>
      </c>
      <c r="C20" s="132">
        <v>0</v>
      </c>
      <c r="D20" s="64">
        <v>0</v>
      </c>
      <c r="E20" s="65">
        <v>2</v>
      </c>
      <c r="F20" s="65">
        <v>362</v>
      </c>
      <c r="G20" s="64">
        <f t="shared" si="0"/>
        <v>364</v>
      </c>
      <c r="H20" s="113">
        <f>G20/G30</f>
        <v>2.5757146900651003E-2</v>
      </c>
    </row>
    <row r="21" spans="1:8" ht="13.5" customHeight="1" x14ac:dyDescent="0.2">
      <c r="A21" s="150">
        <v>15</v>
      </c>
      <c r="B21" s="141" t="s">
        <v>84</v>
      </c>
      <c r="C21" s="132">
        <v>0</v>
      </c>
      <c r="D21" s="64">
        <v>0</v>
      </c>
      <c r="E21" s="65">
        <v>0</v>
      </c>
      <c r="F21" s="65">
        <f>511+2</f>
        <v>513</v>
      </c>
      <c r="G21" s="64">
        <f t="shared" si="0"/>
        <v>513</v>
      </c>
      <c r="H21" s="113">
        <f>G21/G30</f>
        <v>3.6300594395697709E-2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0</v>
      </c>
      <c r="E22" s="65">
        <v>0</v>
      </c>
      <c r="F22" s="65">
        <f>525+2</f>
        <v>527</v>
      </c>
      <c r="G22" s="59">
        <f t="shared" si="0"/>
        <v>527</v>
      </c>
      <c r="H22" s="113">
        <f>G22/G30</f>
        <v>3.729125389187659E-2</v>
      </c>
    </row>
    <row r="23" spans="1:8" ht="24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1</v>
      </c>
      <c r="F23" s="65">
        <f>256+1</f>
        <v>257</v>
      </c>
      <c r="G23" s="64">
        <f t="shared" si="0"/>
        <v>258</v>
      </c>
      <c r="H23" s="113">
        <f>G23/G30</f>
        <v>1.8256439286725164E-2</v>
      </c>
    </row>
    <row r="24" spans="1:8" ht="17.25" customHeight="1" x14ac:dyDescent="0.2">
      <c r="A24" s="149">
        <v>18</v>
      </c>
      <c r="B24" s="142" t="s">
        <v>87</v>
      </c>
      <c r="C24" s="132">
        <v>0</v>
      </c>
      <c r="D24" s="64">
        <v>0</v>
      </c>
      <c r="E24" s="65">
        <v>2</v>
      </c>
      <c r="F24" s="65">
        <f>223+1</f>
        <v>224</v>
      </c>
      <c r="G24" s="64">
        <f t="shared" si="0"/>
        <v>226</v>
      </c>
      <c r="H24" s="113">
        <f>G24/G30</f>
        <v>1.599207472403057E-2</v>
      </c>
    </row>
    <row r="25" spans="1:8" ht="15.75" customHeight="1" x14ac:dyDescent="0.2">
      <c r="A25" s="149">
        <v>19</v>
      </c>
      <c r="B25" s="142" t="s">
        <v>88</v>
      </c>
      <c r="C25" s="132">
        <v>0</v>
      </c>
      <c r="D25" s="64">
        <v>0</v>
      </c>
      <c r="E25" s="65">
        <v>14</v>
      </c>
      <c r="F25" s="65">
        <v>264</v>
      </c>
      <c r="G25" s="64">
        <f t="shared" si="0"/>
        <v>278</v>
      </c>
      <c r="H25" s="113">
        <f>G25/G30</f>
        <v>1.9671667138409284E-2</v>
      </c>
    </row>
    <row r="26" spans="1:8" ht="24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27</v>
      </c>
      <c r="G26" s="69">
        <f t="shared" si="0"/>
        <v>27</v>
      </c>
      <c r="H26" s="113">
        <f>G26/G30</f>
        <v>1.9105575997735635E-3</v>
      </c>
    </row>
    <row r="27" spans="1:8" ht="16.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16</v>
      </c>
      <c r="G27" s="64">
        <f t="shared" si="0"/>
        <v>16</v>
      </c>
      <c r="H27" s="113">
        <f>G27/G30</f>
        <v>1.1321822813472968E-3</v>
      </c>
    </row>
    <row r="28" spans="1:8" ht="14.25" customHeight="1" x14ac:dyDescent="0.2">
      <c r="A28" s="149">
        <v>22</v>
      </c>
      <c r="B28" s="143" t="s">
        <v>91</v>
      </c>
      <c r="C28" s="132">
        <v>0</v>
      </c>
      <c r="D28" s="64">
        <v>0</v>
      </c>
      <c r="E28" s="65">
        <v>5</v>
      </c>
      <c r="F28" s="65">
        <f>1665+26</f>
        <v>1691</v>
      </c>
      <c r="G28" s="64">
        <f t="shared" si="0"/>
        <v>1696</v>
      </c>
      <c r="H28" s="113">
        <f>G28/G30</f>
        <v>0.12001132182281347</v>
      </c>
    </row>
    <row r="29" spans="1:8" ht="15" customHeight="1" thickBot="1" x14ac:dyDescent="0.25">
      <c r="A29" s="151">
        <v>23</v>
      </c>
      <c r="B29" s="168" t="s">
        <v>92</v>
      </c>
      <c r="C29" s="164">
        <v>0</v>
      </c>
      <c r="D29" s="96">
        <v>0</v>
      </c>
      <c r="E29" s="103">
        <v>0</v>
      </c>
      <c r="F29" s="103">
        <v>1</v>
      </c>
      <c r="G29" s="96">
        <f t="shared" si="0"/>
        <v>1</v>
      </c>
      <c r="H29" s="161">
        <f>G29/G30</f>
        <v>7.0761392584206052E-5</v>
      </c>
    </row>
    <row r="30" spans="1:8" ht="24" customHeight="1" thickBot="1" x14ac:dyDescent="0.25">
      <c r="A30" s="439" t="s">
        <v>6</v>
      </c>
      <c r="B30" s="439"/>
      <c r="C30" s="165">
        <f t="shared" ref="C30:H30" si="1">SUM(C7:C29)</f>
        <v>25</v>
      </c>
      <c r="D30" s="165">
        <f t="shared" si="1"/>
        <v>0</v>
      </c>
      <c r="E30" s="101">
        <f t="shared" si="1"/>
        <v>505</v>
      </c>
      <c r="F30" s="101">
        <f t="shared" si="1"/>
        <v>13602</v>
      </c>
      <c r="G30" s="102">
        <f t="shared" si="1"/>
        <v>14132</v>
      </c>
      <c r="H30" s="163">
        <f t="shared" si="1"/>
        <v>0.99999999999999989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40"/>
      <c r="B32" s="40"/>
      <c r="F32" s="88" t="s">
        <v>12</v>
      </c>
    </row>
    <row r="33" spans="1:6" x14ac:dyDescent="0.2">
      <c r="A33" s="435">
        <v>42387</v>
      </c>
      <c r="B33" s="435"/>
      <c r="F33" s="88" t="s">
        <v>93</v>
      </c>
    </row>
    <row r="34" spans="1:6" x14ac:dyDescent="0.2">
      <c r="B34" s="104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40" sqref="B40"/>
    </sheetView>
  </sheetViews>
  <sheetFormatPr defaultRowHeight="12.75" x14ac:dyDescent="0.2"/>
  <cols>
    <col min="1" max="1" width="5.42578125" customWidth="1"/>
    <col min="2" max="2" width="53.42578125" customWidth="1"/>
    <col min="3" max="7" width="12.7109375" customWidth="1"/>
    <col min="8" max="8" width="12.28515625" customWidth="1"/>
  </cols>
  <sheetData>
    <row r="1" spans="1:8" x14ac:dyDescent="0.2">
      <c r="A1" s="126" t="s">
        <v>115</v>
      </c>
      <c r="B1" s="25"/>
    </row>
    <row r="2" spans="1:8" ht="30.75" customHeight="1" x14ac:dyDescent="0.25">
      <c r="A2" s="438" t="s">
        <v>131</v>
      </c>
      <c r="B2" s="438"/>
      <c r="C2" s="438"/>
      <c r="D2" s="438"/>
      <c r="E2" s="438"/>
      <c r="F2" s="438"/>
      <c r="G2" s="438"/>
    </row>
    <row r="3" spans="1:8" ht="11.25" customHeight="1" thickBot="1" x14ac:dyDescent="0.3">
      <c r="A3" s="401"/>
      <c r="B3" s="401"/>
      <c r="C3" s="401"/>
    </row>
    <row r="4" spans="1:8" ht="14.25" customHeight="1" x14ac:dyDescent="0.2">
      <c r="A4" s="146"/>
      <c r="B4" s="137"/>
      <c r="C4" s="414" t="s">
        <v>62</v>
      </c>
      <c r="D4" s="404"/>
      <c r="E4" s="404"/>
      <c r="F4" s="404"/>
      <c r="G4" s="404"/>
      <c r="H4" s="405"/>
    </row>
    <row r="5" spans="1:8" ht="13.5" customHeight="1" x14ac:dyDescent="0.2">
      <c r="A5" s="147" t="s">
        <v>63</v>
      </c>
      <c r="B5" s="138" t="s">
        <v>64</v>
      </c>
      <c r="C5" s="415" t="s">
        <v>65</v>
      </c>
      <c r="D5" s="407"/>
      <c r="E5" s="408" t="s">
        <v>66</v>
      </c>
      <c r="F5" s="408"/>
      <c r="G5" s="375" t="s">
        <v>6</v>
      </c>
      <c r="H5" s="376" t="s">
        <v>116</v>
      </c>
    </row>
    <row r="6" spans="1:8" ht="24" customHeight="1" thickBot="1" x14ac:dyDescent="0.25">
      <c r="A6" s="145"/>
      <c r="B6" s="139"/>
      <c r="C6" s="154" t="s">
        <v>67</v>
      </c>
      <c r="D6" s="108" t="s">
        <v>68</v>
      </c>
      <c r="E6" s="108" t="s">
        <v>68</v>
      </c>
      <c r="F6" s="108" t="s">
        <v>69</v>
      </c>
      <c r="G6" s="436"/>
      <c r="H6" s="437"/>
    </row>
    <row r="7" spans="1:8" ht="14.25" customHeight="1" x14ac:dyDescent="0.2">
      <c r="A7" s="166">
        <v>1</v>
      </c>
      <c r="B7" s="140" t="s">
        <v>70</v>
      </c>
      <c r="C7" s="131">
        <v>0</v>
      </c>
      <c r="D7" s="83">
        <v>0</v>
      </c>
      <c r="E7" s="95">
        <v>0</v>
      </c>
      <c r="F7" s="95">
        <v>124</v>
      </c>
      <c r="G7" s="81">
        <f>SUM(C7+D7+E7+F7)</f>
        <v>124</v>
      </c>
      <c r="H7" s="112">
        <f>G7/G30</f>
        <v>5.341604204359438E-3</v>
      </c>
    </row>
    <row r="8" spans="1:8" ht="14.2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23</v>
      </c>
      <c r="G8" s="106">
        <f>SUM(C8+D8+E8+F8)</f>
        <v>23</v>
      </c>
      <c r="H8" s="113">
        <f>G8/G30</f>
        <v>9.9078142500215395E-4</v>
      </c>
    </row>
    <row r="9" spans="1:8" ht="12.75" customHeight="1" x14ac:dyDescent="0.2">
      <c r="A9" s="149">
        <v>3</v>
      </c>
      <c r="B9" s="141" t="s">
        <v>72</v>
      </c>
      <c r="C9" s="132">
        <v>32</v>
      </c>
      <c r="D9" s="64">
        <v>0</v>
      </c>
      <c r="E9" s="65">
        <v>1</v>
      </c>
      <c r="F9" s="65">
        <f>1269+1</f>
        <v>1270</v>
      </c>
      <c r="G9" s="106">
        <f t="shared" ref="G9:G29" si="0">SUM(C9+D9+E9+F9)</f>
        <v>1303</v>
      </c>
      <c r="H9" s="113">
        <f>G9/G30</f>
        <v>5.6129921599035064E-2</v>
      </c>
    </row>
    <row r="10" spans="1:8" ht="1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61</v>
      </c>
      <c r="G10" s="107">
        <f t="shared" si="0"/>
        <v>61</v>
      </c>
      <c r="H10" s="113">
        <f>G10/G30</f>
        <v>2.6277246489187561E-3</v>
      </c>
    </row>
    <row r="11" spans="1:8" ht="24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4</v>
      </c>
      <c r="G11" s="107">
        <f t="shared" si="0"/>
        <v>4</v>
      </c>
      <c r="H11" s="113">
        <f>G11/G30</f>
        <v>1.7230981304385286E-4</v>
      </c>
    </row>
    <row r="12" spans="1:8" ht="12.75" customHeight="1" x14ac:dyDescent="0.2">
      <c r="A12" s="149">
        <v>6</v>
      </c>
      <c r="B12" s="141" t="s">
        <v>75</v>
      </c>
      <c r="C12" s="133">
        <v>0</v>
      </c>
      <c r="D12" s="59">
        <v>0</v>
      </c>
      <c r="E12" s="60">
        <v>17</v>
      </c>
      <c r="F12" s="60">
        <f>1457+1</f>
        <v>1458</v>
      </c>
      <c r="G12" s="107">
        <f t="shared" si="0"/>
        <v>1475</v>
      </c>
      <c r="H12" s="113">
        <f>G12/G30</f>
        <v>6.3539243559920744E-2</v>
      </c>
    </row>
    <row r="13" spans="1:8" ht="24" customHeight="1" x14ac:dyDescent="0.2">
      <c r="A13" s="149">
        <v>7</v>
      </c>
      <c r="B13" s="141" t="s">
        <v>76</v>
      </c>
      <c r="C13" s="133">
        <v>0</v>
      </c>
      <c r="D13" s="59">
        <v>172</v>
      </c>
      <c r="E13" s="60">
        <v>33</v>
      </c>
      <c r="F13" s="60">
        <f>3410+6</f>
        <v>3416</v>
      </c>
      <c r="G13" s="107">
        <f t="shared" si="0"/>
        <v>3621</v>
      </c>
      <c r="H13" s="113">
        <f>G13/G30</f>
        <v>0.15598345825794779</v>
      </c>
    </row>
    <row r="14" spans="1:8" ht="14.25" customHeight="1" x14ac:dyDescent="0.2">
      <c r="A14" s="149">
        <v>8</v>
      </c>
      <c r="B14" s="141" t="s">
        <v>77</v>
      </c>
      <c r="C14" s="133">
        <v>0</v>
      </c>
      <c r="D14" s="59">
        <v>35</v>
      </c>
      <c r="E14" s="59">
        <v>10</v>
      </c>
      <c r="F14" s="60">
        <f>1189+1</f>
        <v>1190</v>
      </c>
      <c r="G14" s="107">
        <f t="shared" si="0"/>
        <v>1235</v>
      </c>
      <c r="H14" s="113">
        <f>G14/G30</f>
        <v>5.3200654777289566E-2</v>
      </c>
    </row>
    <row r="15" spans="1:8" ht="24" customHeight="1" x14ac:dyDescent="0.2">
      <c r="A15" s="149">
        <v>9</v>
      </c>
      <c r="B15" s="141" t="s">
        <v>78</v>
      </c>
      <c r="C15" s="132">
        <v>0</v>
      </c>
      <c r="D15" s="64">
        <v>1996</v>
      </c>
      <c r="E15" s="59">
        <v>4140</v>
      </c>
      <c r="F15" s="65">
        <f>3063+2</f>
        <v>3065</v>
      </c>
      <c r="G15" s="107">
        <f t="shared" si="0"/>
        <v>9201</v>
      </c>
      <c r="H15" s="113">
        <f>G15/G30</f>
        <v>0.39635564745412249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0</v>
      </c>
      <c r="F16" s="65">
        <v>353</v>
      </c>
      <c r="G16" s="106">
        <f t="shared" si="0"/>
        <v>353</v>
      </c>
      <c r="H16" s="113">
        <f>G16/G30</f>
        <v>1.5206341001120014E-2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v>330</v>
      </c>
      <c r="G17" s="107">
        <f t="shared" si="0"/>
        <v>330</v>
      </c>
      <c r="H17" s="113">
        <f>G17/G30</f>
        <v>1.4215559576117859E-2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0</v>
      </c>
      <c r="E18" s="65">
        <v>15</v>
      </c>
      <c r="F18" s="65">
        <v>128</v>
      </c>
      <c r="G18" s="106">
        <f t="shared" si="0"/>
        <v>143</v>
      </c>
      <c r="H18" s="113">
        <f>G18/G30</f>
        <v>6.1600758163177392E-3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1</v>
      </c>
      <c r="F19" s="65">
        <v>754</v>
      </c>
      <c r="G19" s="106">
        <f t="shared" si="0"/>
        <v>755</v>
      </c>
      <c r="H19" s="113">
        <f>G19/G30</f>
        <v>3.2523477212027224E-2</v>
      </c>
    </row>
    <row r="20" spans="1:8" ht="14.25" customHeight="1" x14ac:dyDescent="0.2">
      <c r="A20" s="149">
        <v>14</v>
      </c>
      <c r="B20" s="141" t="s">
        <v>83</v>
      </c>
      <c r="C20" s="132">
        <v>0</v>
      </c>
      <c r="D20" s="64">
        <v>51</v>
      </c>
      <c r="E20" s="65">
        <v>19</v>
      </c>
      <c r="F20" s="65">
        <v>618</v>
      </c>
      <c r="G20" s="106">
        <f t="shared" si="0"/>
        <v>688</v>
      </c>
      <c r="H20" s="113">
        <f>G20/G30</f>
        <v>2.9637287843542689E-2</v>
      </c>
    </row>
    <row r="21" spans="1:8" ht="13.5" customHeight="1" x14ac:dyDescent="0.2">
      <c r="A21" s="150">
        <v>15</v>
      </c>
      <c r="B21" s="141" t="s">
        <v>84</v>
      </c>
      <c r="C21" s="132">
        <v>0</v>
      </c>
      <c r="D21" s="64">
        <v>11</v>
      </c>
      <c r="E21" s="65">
        <v>0</v>
      </c>
      <c r="F21" s="65">
        <f>770+2</f>
        <v>772</v>
      </c>
      <c r="G21" s="106">
        <f t="shared" si="0"/>
        <v>783</v>
      </c>
      <c r="H21" s="113">
        <f>G21/G30</f>
        <v>3.3729645903334195E-2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7</v>
      </c>
      <c r="E22" s="65">
        <v>0</v>
      </c>
      <c r="F22" s="65">
        <f>366+1</f>
        <v>367</v>
      </c>
      <c r="G22" s="107">
        <f t="shared" si="0"/>
        <v>374</v>
      </c>
      <c r="H22" s="113">
        <f>G22/G30</f>
        <v>1.6110967519600242E-2</v>
      </c>
    </row>
    <row r="23" spans="1:8" ht="24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1</v>
      </c>
      <c r="F23" s="65">
        <f>276+1</f>
        <v>277</v>
      </c>
      <c r="G23" s="106">
        <f t="shared" si="0"/>
        <v>278</v>
      </c>
      <c r="H23" s="113">
        <f>G23/G30</f>
        <v>1.1975532006547773E-2</v>
      </c>
    </row>
    <row r="24" spans="1:8" ht="17.25" customHeight="1" x14ac:dyDescent="0.2">
      <c r="A24" s="149">
        <v>18</v>
      </c>
      <c r="B24" s="142" t="s">
        <v>87</v>
      </c>
      <c r="C24" s="132">
        <v>0</v>
      </c>
      <c r="D24" s="64">
        <v>42</v>
      </c>
      <c r="E24" s="65">
        <v>8</v>
      </c>
      <c r="F24" s="65">
        <v>374</v>
      </c>
      <c r="G24" s="106">
        <f t="shared" si="0"/>
        <v>424</v>
      </c>
      <c r="H24" s="113">
        <f>G24/G30</f>
        <v>1.8264840182648401E-2</v>
      </c>
    </row>
    <row r="25" spans="1:8" ht="15.75" customHeight="1" x14ac:dyDescent="0.2">
      <c r="A25" s="149">
        <v>19</v>
      </c>
      <c r="B25" s="142" t="s">
        <v>88</v>
      </c>
      <c r="C25" s="132">
        <v>0</v>
      </c>
      <c r="D25" s="64">
        <v>6</v>
      </c>
      <c r="E25" s="65">
        <v>32</v>
      </c>
      <c r="F25" s="65">
        <v>336</v>
      </c>
      <c r="G25" s="106">
        <f t="shared" si="0"/>
        <v>374</v>
      </c>
      <c r="H25" s="113">
        <f>G25/G30</f>
        <v>1.6110967519600242E-2</v>
      </c>
    </row>
    <row r="26" spans="1:8" ht="24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26</v>
      </c>
      <c r="G26" s="109">
        <f t="shared" si="0"/>
        <v>26</v>
      </c>
      <c r="H26" s="113">
        <f>G26/G30</f>
        <v>1.1200137847850436E-3</v>
      </c>
    </row>
    <row r="27" spans="1:8" ht="16.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15</v>
      </c>
      <c r="G27" s="106">
        <f t="shared" si="0"/>
        <v>15</v>
      </c>
      <c r="H27" s="113">
        <f>G27/G30</f>
        <v>6.4616179891444818E-4</v>
      </c>
    </row>
    <row r="28" spans="1:8" ht="14.25" customHeight="1" x14ac:dyDescent="0.2">
      <c r="A28" s="149">
        <v>22</v>
      </c>
      <c r="B28" s="143" t="s">
        <v>91</v>
      </c>
      <c r="C28" s="132">
        <v>0</v>
      </c>
      <c r="D28" s="64">
        <v>2</v>
      </c>
      <c r="E28" s="65">
        <v>64</v>
      </c>
      <c r="F28" s="65">
        <f>1524+27</f>
        <v>1551</v>
      </c>
      <c r="G28" s="106">
        <f t="shared" si="0"/>
        <v>1617</v>
      </c>
      <c r="H28" s="113">
        <f>G28/G30</f>
        <v>6.9656241922977508E-2</v>
      </c>
    </row>
    <row r="29" spans="1:8" ht="15" customHeight="1" thickBot="1" x14ac:dyDescent="0.25">
      <c r="A29" s="151">
        <v>23</v>
      </c>
      <c r="B29" s="168" t="s">
        <v>92</v>
      </c>
      <c r="C29" s="164">
        <v>0</v>
      </c>
      <c r="D29" s="96">
        <v>0</v>
      </c>
      <c r="E29" s="103">
        <v>0</v>
      </c>
      <c r="F29" s="103">
        <v>7</v>
      </c>
      <c r="G29" s="110">
        <f t="shared" si="0"/>
        <v>7</v>
      </c>
      <c r="H29" s="114">
        <f>G29/G30</f>
        <v>3.0154217282674247E-4</v>
      </c>
    </row>
    <row r="30" spans="1:8" ht="24" customHeight="1" thickBot="1" x14ac:dyDescent="0.25">
      <c r="A30" s="439" t="s">
        <v>6</v>
      </c>
      <c r="B30" s="439"/>
      <c r="C30" s="165">
        <f t="shared" ref="C30:H30" si="1">SUM(C7:C29)</f>
        <v>32</v>
      </c>
      <c r="D30" s="101">
        <f t="shared" si="1"/>
        <v>2322</v>
      </c>
      <c r="E30" s="101">
        <f t="shared" si="1"/>
        <v>4341</v>
      </c>
      <c r="F30" s="101">
        <f t="shared" si="1"/>
        <v>16519</v>
      </c>
      <c r="G30" s="111">
        <f t="shared" si="1"/>
        <v>23214</v>
      </c>
      <c r="H30" s="115">
        <f t="shared" si="1"/>
        <v>1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40"/>
      <c r="B32" s="40"/>
      <c r="F32" s="88" t="s">
        <v>12</v>
      </c>
    </row>
    <row r="33" spans="1:6" x14ac:dyDescent="0.2">
      <c r="A33" s="435">
        <v>42398</v>
      </c>
      <c r="B33" s="435"/>
      <c r="F33" s="88" t="s">
        <v>93</v>
      </c>
    </row>
    <row r="34" spans="1:6" x14ac:dyDescent="0.2">
      <c r="B34" s="104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zoomScaleNormal="100" workbookViewId="0">
      <selection activeCell="E32" sqref="E32:G33"/>
    </sheetView>
  </sheetViews>
  <sheetFormatPr defaultRowHeight="12.75" x14ac:dyDescent="0.2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 x14ac:dyDescent="0.2">
      <c r="A1" s="126" t="s">
        <v>115</v>
      </c>
      <c r="B1" s="25"/>
    </row>
    <row r="2" spans="1:8" ht="30.75" customHeight="1" x14ac:dyDescent="0.25">
      <c r="A2" s="438" t="s">
        <v>130</v>
      </c>
      <c r="B2" s="438"/>
      <c r="C2" s="438"/>
      <c r="D2" s="438"/>
      <c r="E2" s="438"/>
      <c r="F2" s="438"/>
      <c r="G2" s="438"/>
    </row>
    <row r="3" spans="1:8" ht="11.25" customHeight="1" thickBot="1" x14ac:dyDescent="0.3">
      <c r="A3" s="401"/>
      <c r="B3" s="401"/>
      <c r="C3" s="401"/>
    </row>
    <row r="4" spans="1:8" ht="14.25" customHeight="1" x14ac:dyDescent="0.2">
      <c r="A4" s="146"/>
      <c r="B4" s="137"/>
      <c r="C4" s="419" t="s">
        <v>62</v>
      </c>
      <c r="D4" s="419"/>
      <c r="E4" s="419"/>
      <c r="F4" s="419"/>
      <c r="G4" s="419"/>
      <c r="H4" s="442"/>
    </row>
    <row r="5" spans="1:8" ht="13.5" customHeight="1" x14ac:dyDescent="0.2">
      <c r="A5" s="147" t="s">
        <v>63</v>
      </c>
      <c r="B5" s="138" t="s">
        <v>64</v>
      </c>
      <c r="C5" s="422" t="s">
        <v>65</v>
      </c>
      <c r="D5" s="415"/>
      <c r="E5" s="423" t="s">
        <v>66</v>
      </c>
      <c r="F5" s="424"/>
      <c r="G5" s="440" t="s">
        <v>6</v>
      </c>
      <c r="H5" s="376" t="s">
        <v>116</v>
      </c>
    </row>
    <row r="6" spans="1:8" ht="24" customHeight="1" thickBot="1" x14ac:dyDescent="0.25">
      <c r="A6" s="145"/>
      <c r="B6" s="145"/>
      <c r="C6" s="62" t="s">
        <v>67</v>
      </c>
      <c r="D6" s="63" t="s">
        <v>68</v>
      </c>
      <c r="E6" s="63" t="s">
        <v>68</v>
      </c>
      <c r="F6" s="100" t="s">
        <v>69</v>
      </c>
      <c r="G6" s="441"/>
      <c r="H6" s="437"/>
    </row>
    <row r="7" spans="1:8" ht="14.25" customHeight="1" x14ac:dyDescent="0.2">
      <c r="A7" s="166">
        <v>1</v>
      </c>
      <c r="B7" s="167" t="s">
        <v>70</v>
      </c>
      <c r="C7" s="169">
        <v>0</v>
      </c>
      <c r="D7" s="99">
        <v>0</v>
      </c>
      <c r="E7" s="94">
        <v>0</v>
      </c>
      <c r="F7" s="94">
        <v>117</v>
      </c>
      <c r="G7" s="170">
        <f>SUM(C7+D7+E7+F7)</f>
        <v>117</v>
      </c>
      <c r="H7" s="113">
        <f>G7/G30</f>
        <v>4.3425008350963142E-3</v>
      </c>
    </row>
    <row r="8" spans="1:8" ht="14.25" customHeight="1" x14ac:dyDescent="0.2">
      <c r="A8" s="149">
        <v>2</v>
      </c>
      <c r="B8" s="141" t="s">
        <v>71</v>
      </c>
      <c r="C8" s="132">
        <v>0</v>
      </c>
      <c r="D8" s="64">
        <v>0</v>
      </c>
      <c r="E8" s="65">
        <v>0</v>
      </c>
      <c r="F8" s="65">
        <v>23</v>
      </c>
      <c r="G8" s="106">
        <f>SUM(C8+D8+E8+F8)</f>
        <v>23</v>
      </c>
      <c r="H8" s="113">
        <f>G8/G30</f>
        <v>8.5365401031807888E-4</v>
      </c>
    </row>
    <row r="9" spans="1:8" ht="12.75" customHeight="1" x14ac:dyDescent="0.2">
      <c r="A9" s="149">
        <v>3</v>
      </c>
      <c r="B9" s="141" t="s">
        <v>72</v>
      </c>
      <c r="C9" s="132">
        <v>22</v>
      </c>
      <c r="D9" s="64">
        <v>0</v>
      </c>
      <c r="E9" s="65">
        <v>4</v>
      </c>
      <c r="F9" s="65">
        <f>1223+1</f>
        <v>1224</v>
      </c>
      <c r="G9" s="106">
        <f t="shared" ref="G9:G29" si="0">SUM(C9+D9+E9+F9)</f>
        <v>1250</v>
      </c>
      <c r="H9" s="113">
        <f>G9/G30</f>
        <v>4.6394239691199941E-2</v>
      </c>
    </row>
    <row r="10" spans="1:8" ht="15" customHeight="1" x14ac:dyDescent="0.2">
      <c r="A10" s="149">
        <v>4</v>
      </c>
      <c r="B10" s="141" t="s">
        <v>73</v>
      </c>
      <c r="C10" s="133">
        <v>0</v>
      </c>
      <c r="D10" s="67">
        <v>0</v>
      </c>
      <c r="E10" s="68">
        <v>0</v>
      </c>
      <c r="F10" s="60">
        <v>47</v>
      </c>
      <c r="G10" s="107">
        <f t="shared" si="0"/>
        <v>47</v>
      </c>
      <c r="H10" s="113">
        <f>G10/G30</f>
        <v>1.7444234123891178E-3</v>
      </c>
    </row>
    <row r="11" spans="1:8" ht="24" customHeight="1" x14ac:dyDescent="0.2">
      <c r="A11" s="149">
        <v>5</v>
      </c>
      <c r="B11" s="141" t="s">
        <v>74</v>
      </c>
      <c r="C11" s="132">
        <v>0</v>
      </c>
      <c r="D11" s="64">
        <v>0</v>
      </c>
      <c r="E11" s="65">
        <v>0</v>
      </c>
      <c r="F11" s="65">
        <v>4</v>
      </c>
      <c r="G11" s="107">
        <f t="shared" si="0"/>
        <v>4</v>
      </c>
      <c r="H11" s="113">
        <f>G11/G30</f>
        <v>1.4846156701183981E-4</v>
      </c>
    </row>
    <row r="12" spans="1:8" ht="12.75" customHeight="1" x14ac:dyDescent="0.2">
      <c r="A12" s="149">
        <v>6</v>
      </c>
      <c r="B12" s="141" t="s">
        <v>75</v>
      </c>
      <c r="C12" s="133">
        <v>0</v>
      </c>
      <c r="D12" s="59">
        <v>1</v>
      </c>
      <c r="E12" s="60">
        <v>19</v>
      </c>
      <c r="F12" s="60">
        <f>1335+1</f>
        <v>1336</v>
      </c>
      <c r="G12" s="107">
        <f t="shared" si="0"/>
        <v>1356</v>
      </c>
      <c r="H12" s="113">
        <f>G12/G30</f>
        <v>5.0328471217013698E-2</v>
      </c>
    </row>
    <row r="13" spans="1:8" ht="24" customHeight="1" x14ac:dyDescent="0.2">
      <c r="A13" s="149">
        <v>7</v>
      </c>
      <c r="B13" s="141" t="s">
        <v>76</v>
      </c>
      <c r="C13" s="133">
        <v>0</v>
      </c>
      <c r="D13" s="59">
        <v>225</v>
      </c>
      <c r="E13" s="60">
        <v>43</v>
      </c>
      <c r="F13" s="60">
        <f>3382+5</f>
        <v>3387</v>
      </c>
      <c r="G13" s="107">
        <f t="shared" si="0"/>
        <v>3655</v>
      </c>
      <c r="H13" s="113">
        <f>G13/G30</f>
        <v>0.13565675685706863</v>
      </c>
    </row>
    <row r="14" spans="1:8" ht="14.25" customHeight="1" x14ac:dyDescent="0.2">
      <c r="A14" s="149">
        <v>8</v>
      </c>
      <c r="B14" s="141" t="s">
        <v>77</v>
      </c>
      <c r="C14" s="133">
        <v>0</v>
      </c>
      <c r="D14" s="59">
        <v>42</v>
      </c>
      <c r="E14" s="59">
        <v>12</v>
      </c>
      <c r="F14" s="60">
        <f>1277+1</f>
        <v>1278</v>
      </c>
      <c r="G14" s="107">
        <f t="shared" si="0"/>
        <v>1332</v>
      </c>
      <c r="H14" s="113">
        <f>G14/G30</f>
        <v>4.9437701814942656E-2</v>
      </c>
    </row>
    <row r="15" spans="1:8" ht="24" customHeight="1" x14ac:dyDescent="0.2">
      <c r="A15" s="149">
        <v>9</v>
      </c>
      <c r="B15" s="141" t="s">
        <v>78</v>
      </c>
      <c r="C15" s="132">
        <v>0</v>
      </c>
      <c r="D15" s="64">
        <v>3589</v>
      </c>
      <c r="E15" s="59">
        <v>5042</v>
      </c>
      <c r="F15" s="65">
        <f>3357+1</f>
        <v>3358</v>
      </c>
      <c r="G15" s="107">
        <f t="shared" si="0"/>
        <v>11989</v>
      </c>
      <c r="H15" s="113">
        <f>G15/G30</f>
        <v>0.44497643172623685</v>
      </c>
    </row>
    <row r="16" spans="1:8" ht="15" customHeight="1" x14ac:dyDescent="0.2">
      <c r="A16" s="149">
        <v>10</v>
      </c>
      <c r="B16" s="141" t="s">
        <v>79</v>
      </c>
      <c r="C16" s="132">
        <v>0</v>
      </c>
      <c r="D16" s="64">
        <v>0</v>
      </c>
      <c r="E16" s="65">
        <v>0</v>
      </c>
      <c r="F16" s="65">
        <v>333</v>
      </c>
      <c r="G16" s="106">
        <f t="shared" si="0"/>
        <v>333</v>
      </c>
      <c r="H16" s="113">
        <f>G16/G30</f>
        <v>1.2359425453735664E-2</v>
      </c>
    </row>
    <row r="17" spans="1:8" ht="15" customHeight="1" x14ac:dyDescent="0.2">
      <c r="A17" s="149">
        <v>11</v>
      </c>
      <c r="B17" s="141" t="s">
        <v>80</v>
      </c>
      <c r="C17" s="132">
        <v>0</v>
      </c>
      <c r="D17" s="64">
        <v>0</v>
      </c>
      <c r="E17" s="65">
        <v>0</v>
      </c>
      <c r="F17" s="60">
        <v>295</v>
      </c>
      <c r="G17" s="107">
        <f t="shared" si="0"/>
        <v>295</v>
      </c>
      <c r="H17" s="113">
        <f>G17/G30</f>
        <v>1.0949040567123185E-2</v>
      </c>
    </row>
    <row r="18" spans="1:8" ht="15" customHeight="1" x14ac:dyDescent="0.2">
      <c r="A18" s="149">
        <v>12</v>
      </c>
      <c r="B18" s="141" t="s">
        <v>81</v>
      </c>
      <c r="C18" s="132">
        <v>0</v>
      </c>
      <c r="D18" s="64">
        <v>9</v>
      </c>
      <c r="E18" s="65">
        <v>21</v>
      </c>
      <c r="F18" s="65">
        <v>145</v>
      </c>
      <c r="G18" s="106">
        <f t="shared" si="0"/>
        <v>175</v>
      </c>
      <c r="H18" s="113">
        <f>G18/G30</f>
        <v>6.4951935567679918E-3</v>
      </c>
    </row>
    <row r="19" spans="1:8" ht="15" customHeight="1" x14ac:dyDescent="0.2">
      <c r="A19" s="149">
        <v>13</v>
      </c>
      <c r="B19" s="141" t="s">
        <v>82</v>
      </c>
      <c r="C19" s="132">
        <v>0</v>
      </c>
      <c r="D19" s="64">
        <v>0</v>
      </c>
      <c r="E19" s="65">
        <v>1</v>
      </c>
      <c r="F19" s="65">
        <v>725</v>
      </c>
      <c r="G19" s="106">
        <f t="shared" si="0"/>
        <v>726</v>
      </c>
      <c r="H19" s="113">
        <f>G19/G30</f>
        <v>2.6945774412648924E-2</v>
      </c>
    </row>
    <row r="20" spans="1:8" ht="14.25" customHeight="1" x14ac:dyDescent="0.2">
      <c r="A20" s="149">
        <v>14</v>
      </c>
      <c r="B20" s="141" t="s">
        <v>83</v>
      </c>
      <c r="C20" s="132">
        <v>0</v>
      </c>
      <c r="D20" s="64">
        <v>53</v>
      </c>
      <c r="E20" s="65">
        <v>21</v>
      </c>
      <c r="F20" s="65">
        <v>703</v>
      </c>
      <c r="G20" s="106">
        <f t="shared" si="0"/>
        <v>777</v>
      </c>
      <c r="H20" s="113">
        <f>G20/G30</f>
        <v>2.8838659392049885E-2</v>
      </c>
    </row>
    <row r="21" spans="1:8" ht="13.5" customHeight="1" x14ac:dyDescent="0.2">
      <c r="A21" s="150">
        <v>15</v>
      </c>
      <c r="B21" s="141" t="s">
        <v>84</v>
      </c>
      <c r="C21" s="132">
        <v>0</v>
      </c>
      <c r="D21" s="64">
        <v>16</v>
      </c>
      <c r="E21" s="65">
        <v>1</v>
      </c>
      <c r="F21" s="65">
        <f>1756+2</f>
        <v>1758</v>
      </c>
      <c r="G21" s="106">
        <f t="shared" si="0"/>
        <v>1775</v>
      </c>
      <c r="H21" s="113">
        <f>G21/G30</f>
        <v>6.5879820361503916E-2</v>
      </c>
    </row>
    <row r="22" spans="1:8" ht="15" customHeight="1" x14ac:dyDescent="0.2">
      <c r="A22" s="149">
        <v>16</v>
      </c>
      <c r="B22" s="141" t="s">
        <v>85</v>
      </c>
      <c r="C22" s="132">
        <v>0</v>
      </c>
      <c r="D22" s="64">
        <v>9</v>
      </c>
      <c r="E22" s="65">
        <v>1</v>
      </c>
      <c r="F22" s="65">
        <v>319</v>
      </c>
      <c r="G22" s="107">
        <f t="shared" si="0"/>
        <v>329</v>
      </c>
      <c r="H22" s="113">
        <f>G22/G30</f>
        <v>1.2210963886723825E-2</v>
      </c>
    </row>
    <row r="23" spans="1:8" ht="24" customHeight="1" x14ac:dyDescent="0.2">
      <c r="A23" s="150">
        <v>17</v>
      </c>
      <c r="B23" s="141" t="s">
        <v>86</v>
      </c>
      <c r="C23" s="132">
        <v>0</v>
      </c>
      <c r="D23" s="64">
        <v>0</v>
      </c>
      <c r="E23" s="65">
        <v>2</v>
      </c>
      <c r="F23" s="65">
        <f>271+1</f>
        <v>272</v>
      </c>
      <c r="G23" s="106">
        <f t="shared" si="0"/>
        <v>274</v>
      </c>
      <c r="H23" s="113">
        <f>G23/G30</f>
        <v>1.0169617340311026E-2</v>
      </c>
    </row>
    <row r="24" spans="1:8" ht="17.25" customHeight="1" x14ac:dyDescent="0.2">
      <c r="A24" s="149">
        <v>18</v>
      </c>
      <c r="B24" s="142" t="s">
        <v>87</v>
      </c>
      <c r="C24" s="132">
        <v>0</v>
      </c>
      <c r="D24" s="64">
        <v>44</v>
      </c>
      <c r="E24" s="65">
        <v>7</v>
      </c>
      <c r="F24" s="65">
        <v>385</v>
      </c>
      <c r="G24" s="106">
        <f t="shared" si="0"/>
        <v>436</v>
      </c>
      <c r="H24" s="113">
        <f>G24/G30</f>
        <v>1.6182310804290539E-2</v>
      </c>
    </row>
    <row r="25" spans="1:8" ht="15.75" customHeight="1" x14ac:dyDescent="0.2">
      <c r="A25" s="149">
        <v>19</v>
      </c>
      <c r="B25" s="142" t="s">
        <v>88</v>
      </c>
      <c r="C25" s="132">
        <v>0</v>
      </c>
      <c r="D25" s="64">
        <v>15</v>
      </c>
      <c r="E25" s="65">
        <v>36</v>
      </c>
      <c r="F25" s="65">
        <v>372</v>
      </c>
      <c r="G25" s="106">
        <f t="shared" si="0"/>
        <v>423</v>
      </c>
      <c r="H25" s="113">
        <f>G25/G30</f>
        <v>1.569981071150206E-2</v>
      </c>
    </row>
    <row r="26" spans="1:8" ht="24" customHeight="1" x14ac:dyDescent="0.2">
      <c r="A26" s="150">
        <v>20</v>
      </c>
      <c r="B26" s="142" t="s">
        <v>89</v>
      </c>
      <c r="C26" s="132">
        <v>0</v>
      </c>
      <c r="D26" s="64">
        <v>0</v>
      </c>
      <c r="E26" s="65">
        <v>0</v>
      </c>
      <c r="F26" s="65">
        <v>30</v>
      </c>
      <c r="G26" s="109">
        <f t="shared" si="0"/>
        <v>30</v>
      </c>
      <c r="H26" s="113">
        <f>G26/G30</f>
        <v>1.1134617525887986E-3</v>
      </c>
    </row>
    <row r="27" spans="1:8" ht="16.5" customHeight="1" x14ac:dyDescent="0.2">
      <c r="A27" s="149">
        <v>21</v>
      </c>
      <c r="B27" s="142" t="s">
        <v>90</v>
      </c>
      <c r="C27" s="132">
        <v>0</v>
      </c>
      <c r="D27" s="64">
        <v>0</v>
      </c>
      <c r="E27" s="65">
        <v>0</v>
      </c>
      <c r="F27" s="65">
        <v>17</v>
      </c>
      <c r="G27" s="106">
        <f t="shared" si="0"/>
        <v>17</v>
      </c>
      <c r="H27" s="113">
        <f>G27/G30</f>
        <v>6.3096165980031918E-4</v>
      </c>
    </row>
    <row r="28" spans="1:8" ht="14.25" customHeight="1" x14ac:dyDescent="0.2">
      <c r="A28" s="149">
        <v>22</v>
      </c>
      <c r="B28" s="143" t="s">
        <v>91</v>
      </c>
      <c r="C28" s="132">
        <v>0</v>
      </c>
      <c r="D28" s="64">
        <v>6</v>
      </c>
      <c r="E28" s="65">
        <v>70</v>
      </c>
      <c r="F28" s="65">
        <f>1474+27</f>
        <v>1501</v>
      </c>
      <c r="G28" s="106">
        <f t="shared" si="0"/>
        <v>1577</v>
      </c>
      <c r="H28" s="113">
        <f>G28/G30</f>
        <v>5.8530972794417845E-2</v>
      </c>
    </row>
    <row r="29" spans="1:8" ht="15" customHeight="1" thickBot="1" x14ac:dyDescent="0.25">
      <c r="A29" s="151">
        <v>23</v>
      </c>
      <c r="B29" s="168" t="s">
        <v>92</v>
      </c>
      <c r="C29" s="164">
        <v>0</v>
      </c>
      <c r="D29" s="96">
        <v>0</v>
      </c>
      <c r="E29" s="103">
        <v>0</v>
      </c>
      <c r="F29" s="103">
        <v>3</v>
      </c>
      <c r="G29" s="110">
        <f t="shared" si="0"/>
        <v>3</v>
      </c>
      <c r="H29" s="161">
        <f>G29/G30</f>
        <v>1.1134617525887985E-4</v>
      </c>
    </row>
    <row r="30" spans="1:8" ht="24" customHeight="1" thickBot="1" x14ac:dyDescent="0.25">
      <c r="A30" s="439" t="s">
        <v>6</v>
      </c>
      <c r="B30" s="439"/>
      <c r="C30" s="165">
        <f t="shared" ref="C30:H30" si="1">SUM(C7:C29)</f>
        <v>22</v>
      </c>
      <c r="D30" s="101">
        <f t="shared" si="1"/>
        <v>4009</v>
      </c>
      <c r="E30" s="101">
        <f t="shared" si="1"/>
        <v>5280</v>
      </c>
      <c r="F30" s="101">
        <f t="shared" si="1"/>
        <v>17632</v>
      </c>
      <c r="G30" s="102">
        <f t="shared" si="1"/>
        <v>26943</v>
      </c>
      <c r="H30" s="163">
        <f t="shared" si="1"/>
        <v>1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40"/>
      <c r="B32" s="40"/>
      <c r="F32" s="88" t="s">
        <v>12</v>
      </c>
    </row>
    <row r="33" spans="1:6" x14ac:dyDescent="0.2">
      <c r="A33" s="435">
        <v>42419</v>
      </c>
      <c r="B33" s="435"/>
      <c r="F33" s="88" t="s">
        <v>93</v>
      </c>
    </row>
    <row r="34" spans="1:6" x14ac:dyDescent="0.2">
      <c r="B34" s="104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1" sqref="F1"/>
    </sheetView>
  </sheetViews>
  <sheetFormatPr defaultRowHeight="12.75" x14ac:dyDescent="0.2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 x14ac:dyDescent="0.2">
      <c r="A1" s="127" t="s">
        <v>99</v>
      </c>
      <c r="L1" s="344"/>
      <c r="M1" s="344"/>
      <c r="N1" s="344"/>
    </row>
    <row r="2" spans="1:14" x14ac:dyDescent="0.2">
      <c r="A2" s="352" t="s">
        <v>50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14" x14ac:dyDescent="0.2">
      <c r="A3" s="353" t="s">
        <v>120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 x14ac:dyDescent="0.2">
      <c r="A5" s="348" t="s">
        <v>0</v>
      </c>
      <c r="B5" s="354">
        <v>2014</v>
      </c>
      <c r="C5" s="354"/>
      <c r="D5" s="354"/>
      <c r="E5" s="354"/>
      <c r="F5" s="354"/>
      <c r="G5" s="354"/>
      <c r="H5" s="354">
        <v>2015</v>
      </c>
      <c r="I5" s="354"/>
      <c r="J5" s="354"/>
      <c r="K5" s="354"/>
      <c r="L5" s="354"/>
      <c r="M5" s="354"/>
      <c r="N5" s="355" t="s">
        <v>141</v>
      </c>
    </row>
    <row r="6" spans="1:14" ht="15.95" customHeight="1" x14ac:dyDescent="0.2">
      <c r="A6" s="349"/>
      <c r="B6" s="193" t="s">
        <v>1</v>
      </c>
      <c r="C6" s="193" t="s">
        <v>2</v>
      </c>
      <c r="D6" s="193" t="s">
        <v>3</v>
      </c>
      <c r="E6" s="193" t="s">
        <v>4</v>
      </c>
      <c r="F6" s="193" t="s">
        <v>5</v>
      </c>
      <c r="G6" s="193" t="s">
        <v>6</v>
      </c>
      <c r="H6" s="193" t="s">
        <v>1</v>
      </c>
      <c r="I6" s="193" t="s">
        <v>2</v>
      </c>
      <c r="J6" s="193" t="s">
        <v>3</v>
      </c>
      <c r="K6" s="193" t="s">
        <v>4</v>
      </c>
      <c r="L6" s="193" t="s">
        <v>5</v>
      </c>
      <c r="M6" s="193" t="s">
        <v>6</v>
      </c>
      <c r="N6" s="356"/>
    </row>
    <row r="7" spans="1:14" ht="15.95" customHeight="1" x14ac:dyDescent="0.2">
      <c r="A7" s="16" t="s">
        <v>20</v>
      </c>
      <c r="B7" s="17">
        <v>9800</v>
      </c>
      <c r="C7" s="17">
        <v>5497</v>
      </c>
      <c r="D7" s="17">
        <v>8034</v>
      </c>
      <c r="E7" s="17">
        <v>8622</v>
      </c>
      <c r="F7" s="17">
        <v>6380</v>
      </c>
      <c r="G7" s="17">
        <f t="shared" ref="G7:G12" si="0">SUM(B7:F7)</f>
        <v>38333</v>
      </c>
      <c r="H7" s="17">
        <f>'κατά επαρχία και φύλο το 2015'!B7+'κατά επαρχία και φύλο το 2015'!I7</f>
        <v>6027</v>
      </c>
      <c r="I7" s="17">
        <f>'κατά επαρχία και φύλο το 2015'!C7+'κατά επαρχία και φύλο το 2015'!J7</f>
        <v>4354</v>
      </c>
      <c r="J7" s="17">
        <f>'κατά επαρχία και φύλο το 2015'!D7+'κατά επαρχία και φύλο το 2015'!K7</f>
        <v>8380</v>
      </c>
      <c r="K7" s="17">
        <f>'κατά επαρχία και φύλο το 2015'!E7+'κατά επαρχία και φύλο το 2015'!L7</f>
        <v>6395</v>
      </c>
      <c r="L7" s="17">
        <f>'κατά επαρχία και φύλο το 2015'!F7+'κατά επαρχία και φύλο το 2015'!M7</f>
        <v>6080</v>
      </c>
      <c r="M7" s="17">
        <f t="shared" ref="M7:M12" si="1">SUM(H7:L7)</f>
        <v>31236</v>
      </c>
      <c r="N7" s="194">
        <f t="shared" ref="N7:N12" si="2">+(M7/G7)-1</f>
        <v>-0.18514074035426398</v>
      </c>
    </row>
    <row r="8" spans="1:14" ht="15.95" customHeight="1" x14ac:dyDescent="0.2">
      <c r="A8" s="16" t="s">
        <v>21</v>
      </c>
      <c r="B8" s="17">
        <v>9243</v>
      </c>
      <c r="C8" s="17">
        <v>5258</v>
      </c>
      <c r="D8" s="17">
        <v>7921</v>
      </c>
      <c r="E8" s="17">
        <v>8406</v>
      </c>
      <c r="F8" s="17">
        <v>6073</v>
      </c>
      <c r="G8" s="17">
        <f t="shared" si="0"/>
        <v>36901</v>
      </c>
      <c r="H8" s="17">
        <f>'κατά επαρχία και φύλο το 2015'!B8+'κατά επαρχία και φύλο το 2015'!I8</f>
        <v>5942</v>
      </c>
      <c r="I8" s="17">
        <f>'κατά επαρχία και φύλο το 2015'!C8+'κατά επαρχία και φύλο το 2015'!J8</f>
        <v>4246</v>
      </c>
      <c r="J8" s="17">
        <f>'κατά επαρχία και φύλο το 2015'!D8+'κατά επαρχία και φύλο το 2015'!K8</f>
        <v>8301</v>
      </c>
      <c r="K8" s="17">
        <f>'κατά επαρχία και φύλο το 2015'!E8+'κατά επαρχία και φύλο το 2015'!L8</f>
        <v>6369</v>
      </c>
      <c r="L8" s="17">
        <f>'κατά επαρχία και φύλο το 2015'!F8+'κατά επαρχία και φύλο το 2015'!M8</f>
        <v>6042</v>
      </c>
      <c r="M8" s="17">
        <f t="shared" si="1"/>
        <v>30900</v>
      </c>
      <c r="N8" s="194">
        <f t="shared" si="2"/>
        <v>-0.16262431912414299</v>
      </c>
    </row>
    <row r="9" spans="1:14" ht="15.95" customHeight="1" x14ac:dyDescent="0.2">
      <c r="A9" s="16" t="s">
        <v>22</v>
      </c>
      <c r="B9" s="17">
        <v>8933</v>
      </c>
      <c r="C9" s="17">
        <v>4845</v>
      </c>
      <c r="D9" s="17">
        <v>7672</v>
      </c>
      <c r="E9" s="17">
        <v>7882</v>
      </c>
      <c r="F9" s="17">
        <v>5684</v>
      </c>
      <c r="G9" s="17">
        <f t="shared" si="0"/>
        <v>35016</v>
      </c>
      <c r="H9" s="17">
        <f>'κατά επαρχία και φύλο το 2015'!B9+'κατά επαρχία και φύλο το 2015'!I9</f>
        <v>6106</v>
      </c>
      <c r="I9" s="17">
        <f>'κατά επαρχία και φύλο το 2015'!C9+'κατά επαρχία και φύλο το 2015'!J9</f>
        <v>4190</v>
      </c>
      <c r="J9" s="17">
        <f>'κατά επαρχία και φύλο το 2015'!D9+'κατά επαρχία και φύλο το 2015'!K9</f>
        <v>8143</v>
      </c>
      <c r="K9" s="17">
        <f>'κατά επαρχία και φύλο το 2015'!E9+'κατά επαρχία και φύλο το 2015'!L9</f>
        <v>6274</v>
      </c>
      <c r="L9" s="17">
        <f>'κατά επαρχία και φύλο το 2015'!F9+'κατά επαρχία και φύλο το 2015'!M9</f>
        <v>5601</v>
      </c>
      <c r="M9" s="17">
        <f t="shared" si="1"/>
        <v>30314</v>
      </c>
      <c r="N9" s="194">
        <f t="shared" si="2"/>
        <v>-0.13428147132739321</v>
      </c>
    </row>
    <row r="10" spans="1:14" ht="15.95" customHeight="1" x14ac:dyDescent="0.2">
      <c r="A10" s="16" t="s">
        <v>23</v>
      </c>
      <c r="B10" s="17">
        <v>8603</v>
      </c>
      <c r="C10" s="17">
        <v>4209</v>
      </c>
      <c r="D10" s="17">
        <v>4822</v>
      </c>
      <c r="E10" s="17">
        <v>7066</v>
      </c>
      <c r="F10" s="17">
        <v>3518</v>
      </c>
      <c r="G10" s="17">
        <f t="shared" si="0"/>
        <v>28218</v>
      </c>
      <c r="H10" s="17">
        <f>'κατά επαρχία και φύλο το 2015'!B10+'κατά επαρχία και φύλο το 2015'!I10</f>
        <v>5818</v>
      </c>
      <c r="I10" s="17">
        <f>'κατά επαρχία και φύλο το 2015'!C10+'κατά επαρχία και φύλο το 2015'!J10</f>
        <v>3409</v>
      </c>
      <c r="J10" s="17">
        <f>'κατά επαρχία και φύλο το 2015'!D10+'κατά επαρχία και φύλο το 2015'!K10</f>
        <v>4937</v>
      </c>
      <c r="K10" s="17">
        <f>'κατά επαρχία και φύλο το 2015'!E10+'κατά επαρχία και φύλο το 2015'!L10</f>
        <v>5539</v>
      </c>
      <c r="L10" s="17">
        <f>'κατά επαρχία και φύλο το 2015'!F10+'κατά επαρχία και φύλο το 2015'!M10</f>
        <v>3285</v>
      </c>
      <c r="M10" s="17">
        <f t="shared" si="1"/>
        <v>22988</v>
      </c>
      <c r="N10" s="194">
        <f t="shared" si="2"/>
        <v>-0.1853426890637182</v>
      </c>
    </row>
    <row r="11" spans="1:14" ht="15.95" customHeight="1" x14ac:dyDescent="0.2">
      <c r="A11" s="16" t="s">
        <v>24</v>
      </c>
      <c r="B11" s="17">
        <v>8180</v>
      </c>
      <c r="C11" s="17">
        <v>3624</v>
      </c>
      <c r="D11" s="17">
        <v>1989</v>
      </c>
      <c r="E11" s="17">
        <v>6720</v>
      </c>
      <c r="F11" s="17">
        <v>2822</v>
      </c>
      <c r="G11" s="17">
        <f t="shared" si="0"/>
        <v>23335</v>
      </c>
      <c r="H11" s="17">
        <f>'κατά επαρχία και φύλο το 2015'!B11+'κατά επαρχία και φύλο το 2015'!I11</f>
        <v>5499</v>
      </c>
      <c r="I11" s="17">
        <f>'κατά επαρχία και φύλο το 2015'!C11+'κατά επαρχία και φύλο το 2015'!J11</f>
        <v>2741</v>
      </c>
      <c r="J11" s="17">
        <f>'κατά επαρχία και φύλο το 2015'!D11+'κατά επαρχία και φύλο το 2015'!K11</f>
        <v>1966</v>
      </c>
      <c r="K11" s="17">
        <f>'κατά επαρχία και φύλο το 2015'!E11+'κατά επαρχία και φύλο το 2015'!L11</f>
        <v>5123</v>
      </c>
      <c r="L11" s="17">
        <f>'κατά επαρχία και φύλο το 2015'!F11+'κατά επαρχία και φύλο το 2015'!M11</f>
        <v>2308</v>
      </c>
      <c r="M11" s="326">
        <f t="shared" si="1"/>
        <v>17637</v>
      </c>
      <c r="N11" s="194">
        <f t="shared" si="2"/>
        <v>-0.24418255838868652</v>
      </c>
    </row>
    <row r="12" spans="1:14" ht="15.95" customHeight="1" thickBot="1" x14ac:dyDescent="0.25">
      <c r="A12" s="80" t="s">
        <v>25</v>
      </c>
      <c r="B12" s="183">
        <v>8520</v>
      </c>
      <c r="C12" s="183">
        <v>3685</v>
      </c>
      <c r="D12" s="183">
        <v>1323</v>
      </c>
      <c r="E12" s="183">
        <v>6882</v>
      </c>
      <c r="F12" s="183">
        <v>2548</v>
      </c>
      <c r="G12" s="183">
        <f t="shared" si="0"/>
        <v>22958</v>
      </c>
      <c r="H12" s="17">
        <f>'κατά επαρχία και φύλο το 2015'!B12+'κατά επαρχία και φύλο το 2015'!I12</f>
        <v>6127</v>
      </c>
      <c r="I12" s="17">
        <f>'κατά επαρχία και φύλο το 2015'!C12+'κατά επαρχία και φύλο το 2015'!J12</f>
        <v>2823</v>
      </c>
      <c r="J12" s="17">
        <f>'κατά επαρχία και φύλο το 2015'!D12+'κατά επαρχία και φύλο το 2015'!K12</f>
        <v>1156</v>
      </c>
      <c r="K12" s="17">
        <f>'κατά επαρχία και φύλο το 2015'!E12+'κατά επαρχία και φύλο το 2015'!L12</f>
        <v>5687</v>
      </c>
      <c r="L12" s="17">
        <f>'κατά επαρχία και φύλο το 2015'!F12+'κατά επαρχία και φύλο το 2015'!M12</f>
        <v>2049</v>
      </c>
      <c r="M12" s="326">
        <f t="shared" si="1"/>
        <v>17842</v>
      </c>
      <c r="N12" s="194">
        <f t="shared" si="2"/>
        <v>-0.22284171095043126</v>
      </c>
    </row>
    <row r="13" spans="1:14" ht="15.95" customHeight="1" x14ac:dyDescent="0.2">
      <c r="A13" s="345" t="s">
        <v>45</v>
      </c>
      <c r="B13" s="300"/>
      <c r="C13" s="295"/>
      <c r="D13" s="295"/>
      <c r="E13" s="295"/>
      <c r="F13" s="295"/>
      <c r="G13" s="295"/>
      <c r="H13" s="300"/>
      <c r="I13" s="295"/>
      <c r="J13" s="295"/>
      <c r="K13" s="295"/>
      <c r="L13" s="295"/>
      <c r="M13" s="295"/>
      <c r="N13" s="296"/>
    </row>
    <row r="14" spans="1:14" ht="20.25" customHeight="1" thickBot="1" x14ac:dyDescent="0.25">
      <c r="A14" s="342"/>
      <c r="B14" s="297">
        <f t="shared" ref="B14:M14" si="3">AVERAGE(B7:B12)</f>
        <v>8879.8333333333339</v>
      </c>
      <c r="C14" s="297">
        <f t="shared" si="3"/>
        <v>4519.666666666667</v>
      </c>
      <c r="D14" s="297">
        <f t="shared" si="3"/>
        <v>5293.5</v>
      </c>
      <c r="E14" s="297">
        <f t="shared" si="3"/>
        <v>7596.333333333333</v>
      </c>
      <c r="F14" s="297">
        <f t="shared" si="3"/>
        <v>4504.166666666667</v>
      </c>
      <c r="G14" s="297">
        <f t="shared" si="3"/>
        <v>30793.5</v>
      </c>
      <c r="H14" s="297">
        <f t="shared" si="3"/>
        <v>5919.833333333333</v>
      </c>
      <c r="I14" s="297">
        <f t="shared" si="3"/>
        <v>3627.1666666666665</v>
      </c>
      <c r="J14" s="297">
        <f t="shared" si="3"/>
        <v>5480.5</v>
      </c>
      <c r="K14" s="297">
        <f t="shared" si="3"/>
        <v>5897.833333333333</v>
      </c>
      <c r="L14" s="297">
        <f t="shared" si="3"/>
        <v>4227.5</v>
      </c>
      <c r="M14" s="297">
        <f t="shared" si="3"/>
        <v>25152.833333333332</v>
      </c>
      <c r="N14" s="301">
        <f t="shared" ref="N14:N22" si="4">+(M14/G14)-1</f>
        <v>-0.18317718566147623</v>
      </c>
    </row>
    <row r="15" spans="1:14" ht="15.95" customHeight="1" x14ac:dyDescent="0.2">
      <c r="A15" s="79" t="s">
        <v>26</v>
      </c>
      <c r="B15" s="13">
        <v>8511</v>
      </c>
      <c r="C15" s="13">
        <v>3517</v>
      </c>
      <c r="D15" s="13">
        <v>1199</v>
      </c>
      <c r="E15" s="13">
        <v>6952</v>
      </c>
      <c r="F15" s="13">
        <v>2411</v>
      </c>
      <c r="G15" s="13">
        <f t="shared" ref="G15:G20" si="5">SUM(B15:F15)</f>
        <v>22590</v>
      </c>
      <c r="H15" s="13">
        <f>'κατά επαρχία και φύλο το 2015'!B15+'κατά επαρχία και φύλο το 2015'!I15</f>
        <v>6573</v>
      </c>
      <c r="I15" s="13">
        <f>'κατά επαρχία και φύλο το 2015'!C15+'κατά επαρχία και φύλο το 2015'!J15</f>
        <v>2788</v>
      </c>
      <c r="J15" s="13">
        <f>'κατά επαρχία και φύλο το 2015'!D15+'κατά επαρχία και φύλο το 2015'!K15</f>
        <v>1086</v>
      </c>
      <c r="K15" s="13">
        <f>'κατά επαρχία και φύλο το 2015'!E15+'κατά επαρχία και φύλο το 2015'!L15</f>
        <v>5962</v>
      </c>
      <c r="L15" s="13">
        <f>'κατά επαρχία και φύλο το 2015'!F15+'κατά επαρχία και φύλο το 2015'!M15</f>
        <v>1844</v>
      </c>
      <c r="M15" s="13">
        <f>'κατά επαρχία και φύλο το 2015'!G15+'κατά επαρχία και φύλο το 2015'!N15</f>
        <v>18253</v>
      </c>
      <c r="N15" s="332">
        <f t="shared" si="4"/>
        <v>-0.19198760513501545</v>
      </c>
    </row>
    <row r="16" spans="1:14" ht="15.95" customHeight="1" x14ac:dyDescent="0.2">
      <c r="A16" s="16" t="s">
        <v>7</v>
      </c>
      <c r="B16" s="17">
        <v>8181</v>
      </c>
      <c r="C16" s="17">
        <v>3226</v>
      </c>
      <c r="D16" s="17">
        <v>1126</v>
      </c>
      <c r="E16" s="17">
        <v>6621</v>
      </c>
      <c r="F16" s="17">
        <v>2278</v>
      </c>
      <c r="G16" s="17">
        <f t="shared" si="5"/>
        <v>21432</v>
      </c>
      <c r="H16" s="13">
        <f>'κατά επαρχία και φύλο το 2015'!B16+'κατά επαρχία και φύλο το 2015'!I16</f>
        <v>6447</v>
      </c>
      <c r="I16" s="13">
        <f>'κατά επαρχία και φύλο το 2015'!C16+'κατά επαρχία και φύλο το 2015'!J16</f>
        <v>2689</v>
      </c>
      <c r="J16" s="13">
        <f>'κατά επαρχία και φύλο το 2015'!D16+'κατά επαρχία και φύλο το 2015'!K16</f>
        <v>1016</v>
      </c>
      <c r="K16" s="13">
        <f>'κατά επαρχία και φύλο το 2015'!E16+'κατά επαρχία και φύλο το 2015'!L16</f>
        <v>5872</v>
      </c>
      <c r="L16" s="13">
        <f>'κατά επαρχία και φύλο το 2015'!F16+'κατά επαρχία και φύλο το 2015'!M16</f>
        <v>1735</v>
      </c>
      <c r="M16" s="13">
        <f>'κατά επαρχία και φύλο το 2015'!G16+'κατά επαρχία και φύλο το 2015'!N16</f>
        <v>17759</v>
      </c>
      <c r="N16" s="333">
        <f t="shared" si="4"/>
        <v>-0.17137924598730869</v>
      </c>
    </row>
    <row r="17" spans="1:14" ht="15.95" customHeight="1" x14ac:dyDescent="0.2">
      <c r="A17" s="16" t="s">
        <v>27</v>
      </c>
      <c r="B17" s="17">
        <v>8074</v>
      </c>
      <c r="C17" s="17">
        <v>3209</v>
      </c>
      <c r="D17" s="17">
        <v>1186</v>
      </c>
      <c r="E17" s="17">
        <v>6652</v>
      </c>
      <c r="F17" s="17">
        <v>2379</v>
      </c>
      <c r="G17" s="17">
        <f t="shared" si="5"/>
        <v>21500</v>
      </c>
      <c r="H17" s="13">
        <f>'κατά επαρχία και φύλο το 2015'!B17+'κατά επαρχία και φύλο το 2015'!I17</f>
        <v>5802</v>
      </c>
      <c r="I17" s="13">
        <f>'κατά επαρχία και φύλο το 2015'!C17+'κατά επαρχία και φύλο το 2015'!J17</f>
        <v>2491</v>
      </c>
      <c r="J17" s="13">
        <f>'κατά επαρχία και φύλο το 2015'!D17+'κατά επαρχία και φύλο το 2015'!K17</f>
        <v>939</v>
      </c>
      <c r="K17" s="13">
        <f>'κατά επαρχία και φύλο το 2015'!E17+'κατά επαρχία και φύλο το 2015'!L17</f>
        <v>5292</v>
      </c>
      <c r="L17" s="13">
        <f>'κατά επαρχία και φύλο το 2015'!F17+'κατά επαρχία και φύλο το 2015'!M17</f>
        <v>1608</v>
      </c>
      <c r="M17" s="13">
        <f>'κατά επαρχία και φύλο το 2015'!G17+'κατά επαρχία και φύλο το 2015'!N17</f>
        <v>16132</v>
      </c>
      <c r="N17" s="333">
        <f t="shared" si="4"/>
        <v>-0.24967441860465112</v>
      </c>
    </row>
    <row r="18" spans="1:14" ht="15.95" customHeight="1" x14ac:dyDescent="0.2">
      <c r="A18" s="16" t="s">
        <v>28</v>
      </c>
      <c r="B18" s="17">
        <v>6304</v>
      </c>
      <c r="C18" s="17">
        <v>2758</v>
      </c>
      <c r="D18" s="17">
        <v>1357</v>
      </c>
      <c r="E18" s="17">
        <v>5342</v>
      </c>
      <c r="F18" s="17">
        <v>2176</v>
      </c>
      <c r="G18" s="17">
        <f t="shared" si="5"/>
        <v>17937</v>
      </c>
      <c r="H18" s="13">
        <f>'κατά επαρχία και φύλο το 2015'!B18+'κατά επαρχία και φύλο το 2015'!I18</f>
        <v>4789</v>
      </c>
      <c r="I18" s="13">
        <f>'κατά επαρχία και φύλο το 2015'!C18+'κατά επαρχία και φύλο το 2015'!J18</f>
        <v>2165</v>
      </c>
      <c r="J18" s="13">
        <f>'κατά επαρχία και φύλο το 2015'!D18+'κατά επαρχία και φύλο το 2015'!K18</f>
        <v>1086</v>
      </c>
      <c r="K18" s="13">
        <f>'κατά επαρχία και φύλο το 2015'!E18+'κατά επαρχία και φύλο το 2015'!L18</f>
        <v>4590</v>
      </c>
      <c r="L18" s="13">
        <f>'κατά επαρχία και φύλο το 2015'!F18+'κατά επαρχία και φύλο το 2015'!M18</f>
        <v>1502</v>
      </c>
      <c r="M18" s="13">
        <f>'κατά επαρχία και φύλο το 2015'!G18+'κατά επαρχία και φύλο το 2015'!N18</f>
        <v>14132</v>
      </c>
      <c r="N18" s="333">
        <f t="shared" si="4"/>
        <v>-0.2121313486090205</v>
      </c>
    </row>
    <row r="19" spans="1:14" ht="15.95" customHeight="1" x14ac:dyDescent="0.2">
      <c r="A19" s="16" t="s">
        <v>29</v>
      </c>
      <c r="B19" s="17">
        <v>5779</v>
      </c>
      <c r="C19" s="17">
        <v>3482</v>
      </c>
      <c r="D19" s="17">
        <v>6652</v>
      </c>
      <c r="E19" s="17">
        <v>5701</v>
      </c>
      <c r="F19" s="17">
        <v>4200</v>
      </c>
      <c r="G19" s="17">
        <f t="shared" si="5"/>
        <v>25814</v>
      </c>
      <c r="H19" s="13">
        <f>'κατά επαρχία και φύλο το 2015'!B19+'κατά επαρχία και φύλο το 2015'!I19</f>
        <v>4789</v>
      </c>
      <c r="I19" s="13">
        <f>'κατά επαρχία και φύλο το 2015'!C19+'κατά επαρχία και φύλο το 2015'!J19</f>
        <v>3183</v>
      </c>
      <c r="J19" s="13">
        <f>'κατά επαρχία και φύλο το 2015'!D19+'κατά επαρχία και φύλο το 2015'!K19</f>
        <v>6861</v>
      </c>
      <c r="K19" s="13">
        <f>'κατά επαρχία και φύλο το 2015'!E19+'κατά επαρχία και φύλο το 2015'!L19</f>
        <v>4944</v>
      </c>
      <c r="L19" s="13">
        <f>'κατά επαρχία και φύλο το 2015'!F19+'κατά επαρχία και φύλο το 2015'!M19</f>
        <v>3437</v>
      </c>
      <c r="M19" s="13">
        <f>'κατά επαρχία και φύλο το 2015'!G19+'κατά επαρχία και φύλο το 2015'!N19</f>
        <v>23214</v>
      </c>
      <c r="N19" s="333">
        <f t="shared" si="4"/>
        <v>-0.10072053924227165</v>
      </c>
    </row>
    <row r="20" spans="1:14" ht="15.95" customHeight="1" thickBot="1" x14ac:dyDescent="0.25">
      <c r="A20" s="80" t="s">
        <v>30</v>
      </c>
      <c r="B20" s="183">
        <v>5832</v>
      </c>
      <c r="C20" s="183">
        <v>4033</v>
      </c>
      <c r="D20" s="183">
        <v>8095</v>
      </c>
      <c r="E20" s="183">
        <v>5962</v>
      </c>
      <c r="F20" s="183">
        <v>5715</v>
      </c>
      <c r="G20" s="183">
        <f t="shared" si="5"/>
        <v>29637</v>
      </c>
      <c r="H20" s="13">
        <f>'κατά επαρχία και φύλο το 2015'!B20+'κατά επαρχία και φύλο το 2015'!I20</f>
        <v>4777</v>
      </c>
      <c r="I20" s="13">
        <f>'κατά επαρχία και φύλο το 2015'!C20+'κατά επαρχία και φύλο το 2015'!J20</f>
        <v>3732</v>
      </c>
      <c r="J20" s="13">
        <f>'κατά επαρχία και φύλο το 2015'!D20+'κατά επαρχία και φύλο το 2015'!K20</f>
        <v>8005</v>
      </c>
      <c r="K20" s="13">
        <f>'κατά επαρχία και φύλο το 2015'!E20+'κατά επαρχία και φύλο το 2015'!L20</f>
        <v>5224</v>
      </c>
      <c r="L20" s="13">
        <f>'κατά επαρχία και φύλο το 2015'!F20+'κατά επαρχία και φύλο το 2015'!M20</f>
        <v>5205</v>
      </c>
      <c r="M20" s="13">
        <f>'κατά επαρχία και φύλο το 2015'!G20+'κατά επαρχία και φύλο το 2015'!N20</f>
        <v>26943</v>
      </c>
      <c r="N20" s="334">
        <f t="shared" si="4"/>
        <v>-9.0899888652697602E-2</v>
      </c>
    </row>
    <row r="21" spans="1:14" ht="15.95" customHeight="1" x14ac:dyDescent="0.2">
      <c r="A21" s="345" t="s">
        <v>43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335"/>
    </row>
    <row r="22" spans="1:14" ht="21" customHeight="1" thickBot="1" x14ac:dyDescent="0.25">
      <c r="A22" s="342"/>
      <c r="B22" s="297">
        <f t="shared" ref="B22:M22" si="6">AVERAGE(B15:B20)</f>
        <v>7113.5</v>
      </c>
      <c r="C22" s="297">
        <f t="shared" si="6"/>
        <v>3370.8333333333335</v>
      </c>
      <c r="D22" s="297">
        <f t="shared" si="6"/>
        <v>3269.1666666666665</v>
      </c>
      <c r="E22" s="297">
        <f t="shared" si="6"/>
        <v>6205</v>
      </c>
      <c r="F22" s="297">
        <f t="shared" si="6"/>
        <v>3193.1666666666665</v>
      </c>
      <c r="G22" s="297">
        <f t="shared" si="6"/>
        <v>23151.666666666668</v>
      </c>
      <c r="H22" s="297">
        <f t="shared" si="6"/>
        <v>5529.5</v>
      </c>
      <c r="I22" s="297">
        <f t="shared" si="6"/>
        <v>2841.3333333333335</v>
      </c>
      <c r="J22" s="297">
        <f t="shared" si="6"/>
        <v>3165.5</v>
      </c>
      <c r="K22" s="297">
        <f t="shared" si="6"/>
        <v>5314</v>
      </c>
      <c r="L22" s="297">
        <f t="shared" si="6"/>
        <v>2555.1666666666665</v>
      </c>
      <c r="M22" s="297">
        <f t="shared" si="6"/>
        <v>19405.5</v>
      </c>
      <c r="N22" s="336">
        <f t="shared" si="4"/>
        <v>-0.1618098049096538</v>
      </c>
    </row>
    <row r="23" spans="1:14" ht="15.95" customHeight="1" x14ac:dyDescent="0.2">
      <c r="A23" s="345" t="s">
        <v>48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9"/>
    </row>
    <row r="24" spans="1:14" ht="15.95" customHeight="1" thickBot="1" x14ac:dyDescent="0.25">
      <c r="A24" s="342"/>
      <c r="B24" s="297">
        <f t="shared" ref="B24:M24" si="7">AVERAGE(B7:B12,B15:B20)</f>
        <v>7996.666666666667</v>
      </c>
      <c r="C24" s="297">
        <f t="shared" si="7"/>
        <v>3945.25</v>
      </c>
      <c r="D24" s="297">
        <f t="shared" si="7"/>
        <v>4281.333333333333</v>
      </c>
      <c r="E24" s="297">
        <f t="shared" si="7"/>
        <v>6900.666666666667</v>
      </c>
      <c r="F24" s="297">
        <f t="shared" si="7"/>
        <v>3848.6666666666665</v>
      </c>
      <c r="G24" s="297">
        <f t="shared" si="7"/>
        <v>26972.583333333332</v>
      </c>
      <c r="H24" s="297">
        <f t="shared" si="7"/>
        <v>5724.666666666667</v>
      </c>
      <c r="I24" s="297">
        <f t="shared" si="7"/>
        <v>3234.25</v>
      </c>
      <c r="J24" s="297">
        <f>AVERAGE(J7:J12,J15:J20)</f>
        <v>4323</v>
      </c>
      <c r="K24" s="297">
        <f t="shared" si="7"/>
        <v>5605.916666666667</v>
      </c>
      <c r="L24" s="297">
        <f>AVERAGE(L7:L12,L15:L20)</f>
        <v>3391.3333333333335</v>
      </c>
      <c r="M24" s="297">
        <f t="shared" si="7"/>
        <v>22279.166666666668</v>
      </c>
      <c r="N24" s="301">
        <f>M24/G24-1</f>
        <v>-0.17400693914499588</v>
      </c>
    </row>
    <row r="25" spans="1:14" x14ac:dyDescent="0.2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</row>
    <row r="26" spans="1:14" x14ac:dyDescent="0.2">
      <c r="A26" s="18"/>
      <c r="B26" s="10"/>
      <c r="C26" s="9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</row>
    <row r="27" spans="1:14" x14ac:dyDescent="0.2">
      <c r="A27" s="18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</row>
    <row r="28" spans="1:14" x14ac:dyDescent="0.2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14" x14ac:dyDescent="0.2">
      <c r="A29" s="32">
        <f>'κατά επαρχία και φύλο το 2015'!A28</f>
        <v>42419</v>
      </c>
      <c r="B29" s="10"/>
      <c r="C29" s="19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1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K25" sqref="K25"/>
    </sheetView>
  </sheetViews>
  <sheetFormatPr defaultRowHeight="12.75" x14ac:dyDescent="0.2"/>
  <cols>
    <col min="1" max="1" width="13.5703125" customWidth="1"/>
    <col min="2" max="11" width="10.7109375" customWidth="1"/>
  </cols>
  <sheetData>
    <row r="1" spans="1:12" x14ac:dyDescent="0.2">
      <c r="A1" s="127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x14ac:dyDescent="0.2">
      <c r="A2" s="358" t="s">
        <v>104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8"/>
    </row>
    <row r="3" spans="1:12" x14ac:dyDescent="0.2">
      <c r="A3" s="353" t="s">
        <v>121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2"/>
    </row>
    <row r="4" spans="1:12" ht="13.5" thickBo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2" x14ac:dyDescent="0.2">
      <c r="A5" s="348" t="s">
        <v>0</v>
      </c>
      <c r="B5" s="362">
        <v>2014</v>
      </c>
      <c r="C5" s="363"/>
      <c r="D5" s="363"/>
      <c r="E5" s="363"/>
      <c r="F5" s="363"/>
      <c r="G5" s="364"/>
      <c r="H5" s="362">
        <v>2015</v>
      </c>
      <c r="I5" s="363"/>
      <c r="J5" s="363"/>
      <c r="K5" s="368"/>
      <c r="L5" s="8"/>
    </row>
    <row r="6" spans="1:12" x14ac:dyDescent="0.2">
      <c r="A6" s="361"/>
      <c r="B6" s="365"/>
      <c r="C6" s="366"/>
      <c r="D6" s="366"/>
      <c r="E6" s="366"/>
      <c r="F6" s="366"/>
      <c r="G6" s="367"/>
      <c r="H6" s="365"/>
      <c r="I6" s="366"/>
      <c r="J6" s="366"/>
      <c r="K6" s="369"/>
      <c r="L6" s="10"/>
    </row>
    <row r="7" spans="1:12" ht="15.95" customHeight="1" x14ac:dyDescent="0.2">
      <c r="A7" s="349"/>
      <c r="B7" s="27" t="s">
        <v>8</v>
      </c>
      <c r="C7" s="27" t="s">
        <v>10</v>
      </c>
      <c r="D7" s="27" t="s">
        <v>9</v>
      </c>
      <c r="E7" s="27" t="s">
        <v>10</v>
      </c>
      <c r="F7" s="27" t="s">
        <v>6</v>
      </c>
      <c r="G7" s="27" t="s">
        <v>8</v>
      </c>
      <c r="H7" s="27" t="s">
        <v>10</v>
      </c>
      <c r="I7" s="27" t="s">
        <v>9</v>
      </c>
      <c r="J7" s="27" t="s">
        <v>10</v>
      </c>
      <c r="K7" s="178" t="s">
        <v>6</v>
      </c>
      <c r="L7" s="9"/>
    </row>
    <row r="8" spans="1:12" ht="15.95" customHeight="1" x14ac:dyDescent="0.2">
      <c r="A8" s="16" t="s">
        <v>20</v>
      </c>
      <c r="B8" s="17">
        <v>19228</v>
      </c>
      <c r="C8" s="195">
        <f t="shared" ref="C8:C13" si="0">+B8/F8</f>
        <v>0.50160436177705892</v>
      </c>
      <c r="D8" s="17">
        <v>19105</v>
      </c>
      <c r="E8" s="195">
        <f t="shared" ref="E8:E13" si="1">+D8/F8</f>
        <v>0.49839563822294108</v>
      </c>
      <c r="F8" s="17">
        <f t="shared" ref="F8:F13" si="2">SUM(B8+D8)</f>
        <v>38333</v>
      </c>
      <c r="G8" s="17">
        <f>'κατά επαρχία και φύλο το 2015'!G7</f>
        <v>15366</v>
      </c>
      <c r="H8" s="195">
        <f t="shared" ref="H8:H13" si="3">+G8/K8</f>
        <v>0.49193238570879755</v>
      </c>
      <c r="I8" s="17">
        <f>'κατά επαρχία και φύλο το 2015'!N7</f>
        <v>15870</v>
      </c>
      <c r="J8" s="195">
        <f t="shared" ref="J8:J13" si="4">+I8/K8</f>
        <v>0.50806761429120251</v>
      </c>
      <c r="K8" s="74">
        <f t="shared" ref="K8:K13" si="5">SUM(G8+I8)</f>
        <v>31236</v>
      </c>
      <c r="L8" s="15"/>
    </row>
    <row r="9" spans="1:12" ht="15.95" customHeight="1" x14ac:dyDescent="0.2">
      <c r="A9" s="16" t="s">
        <v>21</v>
      </c>
      <c r="B9" s="17">
        <v>18469</v>
      </c>
      <c r="C9" s="195">
        <f t="shared" si="0"/>
        <v>0.5005013414270616</v>
      </c>
      <c r="D9" s="17">
        <v>18432</v>
      </c>
      <c r="E9" s="195">
        <f t="shared" si="1"/>
        <v>0.4994986585729384</v>
      </c>
      <c r="F9" s="17">
        <f t="shared" si="2"/>
        <v>36901</v>
      </c>
      <c r="G9" s="17">
        <f>'κατά επαρχία και φύλο το 2015'!G8</f>
        <v>15297</v>
      </c>
      <c r="H9" s="195">
        <f t="shared" si="3"/>
        <v>0.49504854368932039</v>
      </c>
      <c r="I9" s="17">
        <f>'κατά επαρχία και φύλο το 2015'!N8</f>
        <v>15603</v>
      </c>
      <c r="J9" s="195">
        <f t="shared" si="4"/>
        <v>0.50495145631067961</v>
      </c>
      <c r="K9" s="74">
        <f t="shared" si="5"/>
        <v>30900</v>
      </c>
      <c r="L9" s="15"/>
    </row>
    <row r="10" spans="1:12" ht="15.95" customHeight="1" x14ac:dyDescent="0.2">
      <c r="A10" s="16" t="s">
        <v>22</v>
      </c>
      <c r="B10" s="17">
        <v>17621</v>
      </c>
      <c r="C10" s="195">
        <f t="shared" si="0"/>
        <v>0.50322709618460137</v>
      </c>
      <c r="D10" s="17">
        <v>17395</v>
      </c>
      <c r="E10" s="195">
        <f t="shared" si="1"/>
        <v>0.49677290381539868</v>
      </c>
      <c r="F10" s="17">
        <f t="shared" si="2"/>
        <v>35016</v>
      </c>
      <c r="G10" s="17">
        <f>'κατά επαρχία και φύλο το 2015'!G9</f>
        <v>15032</v>
      </c>
      <c r="H10" s="195">
        <f t="shared" si="3"/>
        <v>0.49587649270963913</v>
      </c>
      <c r="I10" s="17">
        <f>'κατά επαρχία και φύλο το 2015'!N9</f>
        <v>15282</v>
      </c>
      <c r="J10" s="195">
        <f t="shared" si="4"/>
        <v>0.50412350729036093</v>
      </c>
      <c r="K10" s="74">
        <f t="shared" si="5"/>
        <v>30314</v>
      </c>
      <c r="L10" s="15"/>
    </row>
    <row r="11" spans="1:12" ht="15.95" customHeight="1" x14ac:dyDescent="0.2">
      <c r="A11" s="16" t="s">
        <v>23</v>
      </c>
      <c r="B11" s="17">
        <v>14647</v>
      </c>
      <c r="C11" s="195">
        <f t="shared" si="0"/>
        <v>0.51906584449642068</v>
      </c>
      <c r="D11" s="17">
        <v>13571</v>
      </c>
      <c r="E11" s="195">
        <f t="shared" si="1"/>
        <v>0.48093415550357926</v>
      </c>
      <c r="F11" s="17">
        <f t="shared" si="2"/>
        <v>28218</v>
      </c>
      <c r="G11" s="17">
        <f>'κατά επαρχία και φύλο το 2015'!G10</f>
        <v>11681</v>
      </c>
      <c r="H11" s="195">
        <f t="shared" si="3"/>
        <v>0.50813467896293718</v>
      </c>
      <c r="I11" s="17">
        <f>'κατά επαρχία και φύλο το 2015'!N10</f>
        <v>11307</v>
      </c>
      <c r="J11" s="195">
        <f t="shared" si="4"/>
        <v>0.49186532103706282</v>
      </c>
      <c r="K11" s="74">
        <f t="shared" si="5"/>
        <v>22988</v>
      </c>
      <c r="L11" s="15"/>
    </row>
    <row r="12" spans="1:12" ht="15.95" customHeight="1" x14ac:dyDescent="0.2">
      <c r="A12" s="16" t="s">
        <v>24</v>
      </c>
      <c r="B12" s="17">
        <v>12443</v>
      </c>
      <c r="C12" s="195">
        <f t="shared" si="0"/>
        <v>0.53323334047568027</v>
      </c>
      <c r="D12" s="17">
        <v>10892</v>
      </c>
      <c r="E12" s="195">
        <f t="shared" si="1"/>
        <v>0.46676665952431967</v>
      </c>
      <c r="F12" s="17">
        <f t="shared" si="2"/>
        <v>23335</v>
      </c>
      <c r="G12" s="17">
        <f>'κατά επαρχία και φύλο το 2015'!G11</f>
        <v>8843</v>
      </c>
      <c r="H12" s="195">
        <f t="shared" si="3"/>
        <v>0.50138912513466005</v>
      </c>
      <c r="I12" s="17">
        <f>'κατά επαρχία και φύλο το 2015'!N11</f>
        <v>8794</v>
      </c>
      <c r="J12" s="195">
        <f t="shared" si="4"/>
        <v>0.49861087486533989</v>
      </c>
      <c r="K12" s="325">
        <f t="shared" si="5"/>
        <v>17637</v>
      </c>
      <c r="L12" s="15"/>
    </row>
    <row r="13" spans="1:12" ht="15.95" customHeight="1" thickBot="1" x14ac:dyDescent="0.25">
      <c r="A13" s="80" t="s">
        <v>25</v>
      </c>
      <c r="B13" s="183">
        <v>11041</v>
      </c>
      <c r="C13" s="196">
        <f t="shared" si="0"/>
        <v>0.48092168307343847</v>
      </c>
      <c r="D13" s="183">
        <v>11917</v>
      </c>
      <c r="E13" s="196">
        <f t="shared" si="1"/>
        <v>0.51907831692656159</v>
      </c>
      <c r="F13" s="183">
        <f t="shared" si="2"/>
        <v>22958</v>
      </c>
      <c r="G13" s="17">
        <f>'κατά επαρχία και φύλο το 2015'!G12</f>
        <v>8191</v>
      </c>
      <c r="H13" s="195">
        <f t="shared" si="3"/>
        <v>0.4590853043380787</v>
      </c>
      <c r="I13" s="17">
        <f>'κατά επαρχία και φύλο το 2015'!N12</f>
        <v>9651</v>
      </c>
      <c r="J13" s="195">
        <f t="shared" si="4"/>
        <v>0.5409146956619213</v>
      </c>
      <c r="K13" s="325">
        <f t="shared" si="5"/>
        <v>17842</v>
      </c>
      <c r="L13" s="15"/>
    </row>
    <row r="14" spans="1:12" ht="15.95" customHeight="1" x14ac:dyDescent="0.2">
      <c r="A14" s="359" t="s">
        <v>49</v>
      </c>
      <c r="B14" s="300"/>
      <c r="C14" s="295"/>
      <c r="D14" s="295"/>
      <c r="E14" s="295"/>
      <c r="F14" s="295"/>
      <c r="G14" s="300"/>
      <c r="H14" s="295"/>
      <c r="I14" s="295"/>
      <c r="J14" s="295"/>
      <c r="K14" s="302"/>
      <c r="L14" s="9"/>
    </row>
    <row r="15" spans="1:12" ht="22.5" customHeight="1" thickBot="1" x14ac:dyDescent="0.25">
      <c r="A15" s="360"/>
      <c r="B15" s="297">
        <f>AVERAGE(B8:B13)</f>
        <v>15574.833333333334</v>
      </c>
      <c r="C15" s="305">
        <f t="shared" ref="C15:C21" si="6">+B15/F15</f>
        <v>0.50578314687623471</v>
      </c>
      <c r="D15" s="297">
        <f>AVERAGE(D8:D13)</f>
        <v>15218.666666666666</v>
      </c>
      <c r="E15" s="305">
        <f t="shared" ref="E15:E21" si="7">+D15/F15</f>
        <v>0.49421685312376529</v>
      </c>
      <c r="F15" s="297">
        <f>AVERAGE(F8:F13)</f>
        <v>30793.5</v>
      </c>
      <c r="G15" s="297">
        <f>AVERAGE(G8:G13)</f>
        <v>12401.666666666666</v>
      </c>
      <c r="H15" s="305">
        <f t="shared" ref="H15:H25" si="8">+G15/K15</f>
        <v>0.49305247255113738</v>
      </c>
      <c r="I15" s="297">
        <f>AVERAGE(I8:I13)</f>
        <v>12751.166666666666</v>
      </c>
      <c r="J15" s="305">
        <f t="shared" ref="J15:J23" si="9">+I15/K15</f>
        <v>0.50694752744886262</v>
      </c>
      <c r="K15" s="306">
        <f>AVERAGE(K8:K13)</f>
        <v>25152.833333333332</v>
      </c>
      <c r="L15" s="15"/>
    </row>
    <row r="16" spans="1:12" ht="15.95" customHeight="1" x14ac:dyDescent="0.2">
      <c r="A16" s="79" t="s">
        <v>26</v>
      </c>
      <c r="B16" s="13">
        <v>10089</v>
      </c>
      <c r="C16" s="12">
        <f t="shared" si="6"/>
        <v>0.44661354581673307</v>
      </c>
      <c r="D16" s="13">
        <v>12501</v>
      </c>
      <c r="E16" s="12">
        <f t="shared" si="7"/>
        <v>0.55338645418326693</v>
      </c>
      <c r="F16" s="13">
        <f t="shared" ref="F16:F21" si="10">SUM(B16+D16)</f>
        <v>22590</v>
      </c>
      <c r="G16" s="13">
        <f>'κατά επαρχία και φύλο το 2015'!G15</f>
        <v>7749</v>
      </c>
      <c r="H16" s="12">
        <f t="shared" si="8"/>
        <v>0.42453295348709802</v>
      </c>
      <c r="I16" s="13">
        <f>'κατά επαρχία και φύλο το 2015'!N15</f>
        <v>10504</v>
      </c>
      <c r="J16" s="12">
        <f t="shared" si="9"/>
        <v>0.57546704651290204</v>
      </c>
      <c r="K16" s="14">
        <f t="shared" ref="K16:K21" si="11">SUM(G16+I16)</f>
        <v>18253</v>
      </c>
      <c r="L16" s="15"/>
    </row>
    <row r="17" spans="1:12" ht="15.95" customHeight="1" x14ac:dyDescent="0.2">
      <c r="A17" s="16" t="s">
        <v>7</v>
      </c>
      <c r="B17" s="17">
        <v>9389</v>
      </c>
      <c r="C17" s="195">
        <f t="shared" si="6"/>
        <v>0.43808324001493093</v>
      </c>
      <c r="D17" s="17">
        <v>12043</v>
      </c>
      <c r="E17" s="195">
        <f t="shared" si="7"/>
        <v>0.56191675998506907</v>
      </c>
      <c r="F17" s="17">
        <f t="shared" si="10"/>
        <v>21432</v>
      </c>
      <c r="G17" s="13">
        <f>'κατά επαρχία και φύλο το 2015'!G16</f>
        <v>7343</v>
      </c>
      <c r="H17" s="12">
        <f t="shared" si="8"/>
        <v>0.41348048876625937</v>
      </c>
      <c r="I17" s="13">
        <f>'κατά επαρχία και φύλο το 2015'!N16</f>
        <v>10416</v>
      </c>
      <c r="J17" s="12">
        <f t="shared" si="9"/>
        <v>0.58651951123374069</v>
      </c>
      <c r="K17" s="14">
        <f t="shared" si="11"/>
        <v>17759</v>
      </c>
      <c r="L17" s="15"/>
    </row>
    <row r="18" spans="1:12" ht="15.95" customHeight="1" x14ac:dyDescent="0.2">
      <c r="A18" s="16" t="s">
        <v>27</v>
      </c>
      <c r="B18" s="17">
        <v>9459</v>
      </c>
      <c r="C18" s="195">
        <f t="shared" si="6"/>
        <v>0.43995348837209303</v>
      </c>
      <c r="D18" s="17">
        <v>12041</v>
      </c>
      <c r="E18" s="195">
        <f t="shared" si="7"/>
        <v>0.56004651162790697</v>
      </c>
      <c r="F18" s="17">
        <f t="shared" si="10"/>
        <v>21500</v>
      </c>
      <c r="G18" s="13">
        <f>'κατά επαρχία και φύλο το 2015'!G17</f>
        <v>7144</v>
      </c>
      <c r="H18" s="12">
        <f t="shared" si="8"/>
        <v>0.44284651624101168</v>
      </c>
      <c r="I18" s="13">
        <f>'κατά επαρχία και φύλο το 2015'!N17</f>
        <v>8988</v>
      </c>
      <c r="J18" s="12">
        <f t="shared" si="9"/>
        <v>0.55715348375898832</v>
      </c>
      <c r="K18" s="14">
        <f t="shared" si="11"/>
        <v>16132</v>
      </c>
      <c r="L18" s="15"/>
    </row>
    <row r="19" spans="1:12" ht="15.95" customHeight="1" x14ac:dyDescent="0.2">
      <c r="A19" s="16" t="s">
        <v>28</v>
      </c>
      <c r="B19" s="17">
        <v>8943</v>
      </c>
      <c r="C19" s="195">
        <f t="shared" si="6"/>
        <v>0.49857835758488039</v>
      </c>
      <c r="D19" s="17">
        <v>8994</v>
      </c>
      <c r="E19" s="195">
        <f t="shared" si="7"/>
        <v>0.50142164241511955</v>
      </c>
      <c r="F19" s="17">
        <f t="shared" si="10"/>
        <v>17937</v>
      </c>
      <c r="G19" s="13">
        <f>'κατά επαρχία και φύλο το 2015'!G18</f>
        <v>6763</v>
      </c>
      <c r="H19" s="12">
        <f t="shared" si="8"/>
        <v>0.47855929804698555</v>
      </c>
      <c r="I19" s="13">
        <f>'κατά επαρχία και φύλο το 2015'!N18</f>
        <v>7369</v>
      </c>
      <c r="J19" s="12">
        <f t="shared" si="9"/>
        <v>0.5214407019530144</v>
      </c>
      <c r="K19" s="14">
        <f t="shared" si="11"/>
        <v>14132</v>
      </c>
      <c r="L19" s="15"/>
    </row>
    <row r="20" spans="1:12" ht="15.95" customHeight="1" x14ac:dyDescent="0.2">
      <c r="A20" s="16" t="s">
        <v>29</v>
      </c>
      <c r="B20" s="17">
        <v>12842</v>
      </c>
      <c r="C20" s="195">
        <f t="shared" si="6"/>
        <v>0.49748198651894321</v>
      </c>
      <c r="D20" s="17">
        <v>12972</v>
      </c>
      <c r="E20" s="195">
        <f t="shared" si="7"/>
        <v>0.50251801348105674</v>
      </c>
      <c r="F20" s="17">
        <f t="shared" si="10"/>
        <v>25814</v>
      </c>
      <c r="G20" s="13">
        <f>'κατά επαρχία και φύλο το 2015'!G19</f>
        <v>10802</v>
      </c>
      <c r="H20" s="12">
        <f t="shared" si="8"/>
        <v>0.46532265012492463</v>
      </c>
      <c r="I20" s="13">
        <f>'κατά επαρχία και φύλο το 2015'!N19</f>
        <v>12412</v>
      </c>
      <c r="J20" s="12">
        <f t="shared" si="9"/>
        <v>0.53467734987507542</v>
      </c>
      <c r="K20" s="14">
        <f t="shared" si="11"/>
        <v>23214</v>
      </c>
      <c r="L20" s="15"/>
    </row>
    <row r="21" spans="1:12" ht="15.95" customHeight="1" thickBot="1" x14ac:dyDescent="0.25">
      <c r="A21" s="80" t="s">
        <v>30</v>
      </c>
      <c r="B21" s="183">
        <v>14566</v>
      </c>
      <c r="C21" s="196">
        <f t="shared" si="6"/>
        <v>0.49148024428923304</v>
      </c>
      <c r="D21" s="183">
        <v>15071</v>
      </c>
      <c r="E21" s="196">
        <f t="shared" si="7"/>
        <v>0.50851975571076691</v>
      </c>
      <c r="F21" s="183">
        <f t="shared" si="10"/>
        <v>29637</v>
      </c>
      <c r="G21" s="13">
        <f>'κατά επαρχία και φύλο το 2015'!G20</f>
        <v>12690</v>
      </c>
      <c r="H21" s="12">
        <f t="shared" si="8"/>
        <v>0.47099432134506181</v>
      </c>
      <c r="I21" s="13">
        <f>'κατά επαρχία και φύλο το 2015'!N20</f>
        <v>14253</v>
      </c>
      <c r="J21" s="337">
        <f t="shared" si="9"/>
        <v>0.52900567865493819</v>
      </c>
      <c r="K21" s="14">
        <f t="shared" si="11"/>
        <v>26943</v>
      </c>
      <c r="L21" s="15"/>
    </row>
    <row r="22" spans="1:12" ht="15.95" customHeight="1" x14ac:dyDescent="0.2">
      <c r="A22" s="359" t="s">
        <v>47</v>
      </c>
      <c r="B22" s="295"/>
      <c r="C22" s="295"/>
      <c r="D22" s="295"/>
      <c r="E22" s="295"/>
      <c r="F22" s="295"/>
      <c r="G22" s="295"/>
      <c r="H22" s="337"/>
      <c r="I22" s="295"/>
      <c r="J22" s="338"/>
      <c r="K22" s="302"/>
      <c r="L22" s="11"/>
    </row>
    <row r="23" spans="1:12" ht="32.25" customHeight="1" thickBot="1" x14ac:dyDescent="0.25">
      <c r="A23" s="360"/>
      <c r="B23" s="303">
        <f>AVERAGE(B16:B21)</f>
        <v>10881.333333333334</v>
      </c>
      <c r="C23" s="304">
        <f>+B23/F23</f>
        <v>0.47000215967172992</v>
      </c>
      <c r="D23" s="303">
        <f>AVERAGE(D16:D21)</f>
        <v>12270.333333333334</v>
      </c>
      <c r="E23" s="304">
        <f>+D23/F23</f>
        <v>0.52999784032827013</v>
      </c>
      <c r="F23" s="303">
        <f t="shared" ref="F23:K23" si="12">AVERAGE(F16:F21)</f>
        <v>23151.666666666668</v>
      </c>
      <c r="G23" s="303">
        <f t="shared" si="12"/>
        <v>8748.5</v>
      </c>
      <c r="H23" s="304">
        <f t="shared" si="8"/>
        <v>0.4508257968101827</v>
      </c>
      <c r="I23" s="303">
        <f t="shared" si="12"/>
        <v>10657</v>
      </c>
      <c r="J23" s="12">
        <f t="shared" si="9"/>
        <v>0.54917420318981736</v>
      </c>
      <c r="K23" s="303">
        <f t="shared" si="12"/>
        <v>19405.5</v>
      </c>
      <c r="L23" s="15"/>
    </row>
    <row r="24" spans="1:12" ht="15.95" customHeight="1" x14ac:dyDescent="0.2">
      <c r="A24" s="341" t="s">
        <v>48</v>
      </c>
      <c r="B24" s="295"/>
      <c r="C24" s="295"/>
      <c r="D24" s="295"/>
      <c r="E24" s="295"/>
      <c r="F24" s="295"/>
      <c r="G24" s="295"/>
      <c r="H24" s="337"/>
      <c r="I24" s="295"/>
      <c r="J24" s="295"/>
      <c r="K24" s="302"/>
      <c r="L24" s="11"/>
    </row>
    <row r="25" spans="1:12" ht="31.5" customHeight="1" thickBot="1" x14ac:dyDescent="0.25">
      <c r="A25" s="342"/>
      <c r="B25" s="297">
        <f>AVERAGE(B15,B23)</f>
        <v>13228.083333333334</v>
      </c>
      <c r="C25" s="305">
        <f>+B25/F25</f>
        <v>0.49042700767136999</v>
      </c>
      <c r="D25" s="297">
        <f>AVERAGE(D15,D23)</f>
        <v>13744.5</v>
      </c>
      <c r="E25" s="305">
        <f>+D25/F25</f>
        <v>0.50957299232862996</v>
      </c>
      <c r="F25" s="297">
        <f>AVERAGE(F15,F23)</f>
        <v>26972.583333333336</v>
      </c>
      <c r="G25" s="297">
        <f>AVERAGE(G8:G13,G16:G21)</f>
        <v>10575.083333333334</v>
      </c>
      <c r="H25" s="304">
        <f t="shared" si="8"/>
        <v>0.47466242752945575</v>
      </c>
      <c r="I25" s="297">
        <f>AVERAGE(I8:I13,I16:I21)</f>
        <v>11704.083333333334</v>
      </c>
      <c r="J25" s="305">
        <f>I25/K25</f>
        <v>0.52533757247054425</v>
      </c>
      <c r="K25" s="306">
        <f>AVERAGE(K8:K13,K16:K21)</f>
        <v>22279.166666666668</v>
      </c>
      <c r="L25" s="15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2" ht="14.25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A28" s="1"/>
      <c r="B28" s="1"/>
      <c r="C28" s="1"/>
      <c r="D28" s="1"/>
      <c r="E28" s="1"/>
      <c r="F28" s="1"/>
      <c r="G28" s="1"/>
      <c r="H28" s="56"/>
      <c r="I28" s="57" t="s">
        <v>12</v>
      </c>
      <c r="J28" s="56"/>
      <c r="K28" s="1"/>
    </row>
    <row r="29" spans="1:12" x14ac:dyDescent="0.2">
      <c r="A29" s="32">
        <f>'κατά επαρχία,  μήνα 2014,2015'!A29</f>
        <v>42419</v>
      </c>
      <c r="B29" s="1"/>
      <c r="C29" s="1"/>
      <c r="D29" s="1"/>
      <c r="E29" s="1"/>
      <c r="F29" s="1"/>
      <c r="G29" s="1"/>
      <c r="H29" s="357" t="s">
        <v>11</v>
      </c>
      <c r="I29" s="357"/>
      <c r="J29" s="357"/>
      <c r="K29" s="357"/>
    </row>
    <row r="30" spans="1:12" x14ac:dyDescent="0.2">
      <c r="A30" s="4"/>
      <c r="B30" s="1"/>
      <c r="C30" s="1"/>
      <c r="D30" s="1"/>
      <c r="E30" s="1"/>
      <c r="F30" s="4"/>
      <c r="G30" s="4"/>
      <c r="H30" s="1"/>
      <c r="I30" s="25"/>
      <c r="J30" s="1"/>
      <c r="K30" s="1"/>
    </row>
    <row r="31" spans="1:12" x14ac:dyDescent="0.2">
      <c r="A31" s="24"/>
      <c r="B31" s="1"/>
      <c r="C31" s="1"/>
      <c r="D31" s="1"/>
      <c r="E31" s="1"/>
      <c r="F31" s="1"/>
      <c r="G31" s="1"/>
      <c r="H31" s="25"/>
      <c r="I31" s="25"/>
      <c r="J31" s="4"/>
      <c r="K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B5:G6"/>
    <mergeCell ref="H5:K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workbookViewId="0">
      <selection activeCell="W18" sqref="W18"/>
    </sheetView>
  </sheetViews>
  <sheetFormatPr defaultRowHeight="12.75" x14ac:dyDescent="0.2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1" width="6" customWidth="1"/>
    <col min="22" max="22" width="6" bestFit="1" customWidth="1"/>
    <col min="23" max="23" width="11.140625" bestFit="1" customWidth="1"/>
  </cols>
  <sheetData>
    <row r="1" spans="1:23" ht="12" customHeight="1" x14ac:dyDescent="0.2"/>
    <row r="2" spans="1:23" ht="19.5" customHeight="1" x14ac:dyDescent="0.2">
      <c r="A2" s="126" t="s">
        <v>101</v>
      </c>
    </row>
    <row r="3" spans="1:23" s="4" customFormat="1" ht="29.25" customHeight="1" x14ac:dyDescent="0.2">
      <c r="A3" s="371" t="s">
        <v>123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</row>
    <row r="4" spans="1:23" ht="15.75" thickBot="1" x14ac:dyDescent="0.3">
      <c r="A4" s="7"/>
      <c r="B4" s="7"/>
      <c r="C4" s="7"/>
      <c r="D4" s="7"/>
      <c r="E4" s="7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</row>
    <row r="5" spans="1:23" ht="25.5" customHeight="1" x14ac:dyDescent="0.2">
      <c r="A5" s="197" t="s">
        <v>0</v>
      </c>
      <c r="B5" s="198">
        <v>1995</v>
      </c>
      <c r="C5" s="198">
        <v>1996</v>
      </c>
      <c r="D5" s="198">
        <v>1997</v>
      </c>
      <c r="E5" s="198">
        <v>1998</v>
      </c>
      <c r="F5" s="198">
        <v>1999</v>
      </c>
      <c r="G5" s="198">
        <v>2000</v>
      </c>
      <c r="H5" s="198">
        <v>2001</v>
      </c>
      <c r="I5" s="199">
        <v>2002</v>
      </c>
      <c r="J5" s="199">
        <v>2003</v>
      </c>
      <c r="K5" s="199">
        <v>2004</v>
      </c>
      <c r="L5" s="199">
        <v>2005</v>
      </c>
      <c r="M5" s="199">
        <v>2006</v>
      </c>
      <c r="N5" s="199">
        <v>2007</v>
      </c>
      <c r="O5" s="199">
        <v>2008</v>
      </c>
      <c r="P5" s="199">
        <v>2009</v>
      </c>
      <c r="Q5" s="199">
        <v>2010</v>
      </c>
      <c r="R5" s="199">
        <v>2011</v>
      </c>
      <c r="S5" s="199">
        <v>2012</v>
      </c>
      <c r="T5" s="199">
        <v>2013</v>
      </c>
      <c r="U5" s="199">
        <v>2014</v>
      </c>
      <c r="V5" s="200">
        <v>2015</v>
      </c>
      <c r="W5" s="201" t="s">
        <v>122</v>
      </c>
    </row>
    <row r="6" spans="1:23" ht="18" customHeight="1" x14ac:dyDescent="0.2">
      <c r="A6" s="16" t="s">
        <v>20</v>
      </c>
      <c r="B6" s="53">
        <v>9930</v>
      </c>
      <c r="C6" s="53">
        <v>11018</v>
      </c>
      <c r="D6" s="53">
        <v>13246</v>
      </c>
      <c r="E6" s="53">
        <v>11830</v>
      </c>
      <c r="F6" s="53">
        <v>14649</v>
      </c>
      <c r="G6" s="53">
        <v>14167</v>
      </c>
      <c r="H6" s="53">
        <f>15282-717</f>
        <v>14565</v>
      </c>
      <c r="I6" s="53">
        <v>14545</v>
      </c>
      <c r="J6" s="202">
        <v>15305</v>
      </c>
      <c r="K6" s="202">
        <v>15193</v>
      </c>
      <c r="L6" s="42">
        <v>18220</v>
      </c>
      <c r="M6" s="42">
        <v>18391</v>
      </c>
      <c r="N6" s="42">
        <v>18001</v>
      </c>
      <c r="O6" s="42">
        <v>16578</v>
      </c>
      <c r="P6" s="42">
        <v>18238</v>
      </c>
      <c r="Q6" s="42">
        <v>24817</v>
      </c>
      <c r="R6" s="42">
        <v>26664</v>
      </c>
      <c r="S6" s="42">
        <v>32281</v>
      </c>
      <c r="T6" s="42">
        <v>36466</v>
      </c>
      <c r="U6" s="42">
        <v>38333</v>
      </c>
      <c r="V6" s="42">
        <f>'κατά φύλο, μήνα 2014,2015'!K8</f>
        <v>31236</v>
      </c>
      <c r="W6" s="203">
        <f t="shared" ref="W6:W20" si="0">V6/U6-1</f>
        <v>-0.18514074035426398</v>
      </c>
    </row>
    <row r="7" spans="1:23" ht="18" customHeight="1" x14ac:dyDescent="0.2">
      <c r="A7" s="16" t="s">
        <v>21</v>
      </c>
      <c r="B7" s="53">
        <v>9756</v>
      </c>
      <c r="C7" s="53">
        <v>11053</v>
      </c>
      <c r="D7" s="53">
        <v>12655</v>
      </c>
      <c r="E7" s="53">
        <v>12110</v>
      </c>
      <c r="F7" s="53">
        <v>14815</v>
      </c>
      <c r="G7" s="53">
        <f>15542-1303</f>
        <v>14239</v>
      </c>
      <c r="H7" s="53">
        <v>14236</v>
      </c>
      <c r="I7" s="53">
        <v>14539</v>
      </c>
      <c r="J7" s="53">
        <v>15608</v>
      </c>
      <c r="K7" s="53">
        <v>15554</v>
      </c>
      <c r="L7" s="42">
        <v>17868</v>
      </c>
      <c r="M7" s="42">
        <v>17832</v>
      </c>
      <c r="N7" s="42">
        <v>17372</v>
      </c>
      <c r="O7" s="42">
        <v>15781</v>
      </c>
      <c r="P7" s="42">
        <v>18809</v>
      </c>
      <c r="Q7" s="42">
        <v>24511</v>
      </c>
      <c r="R7" s="42">
        <v>26506</v>
      </c>
      <c r="S7" s="42">
        <v>32291</v>
      </c>
      <c r="T7" s="86">
        <v>36211</v>
      </c>
      <c r="U7" s="86">
        <v>36901</v>
      </c>
      <c r="V7" s="42">
        <f>'κατά φύλο, μήνα 2014,2015'!K9</f>
        <v>30900</v>
      </c>
      <c r="W7" s="203">
        <f t="shared" si="0"/>
        <v>-0.16262431912414299</v>
      </c>
    </row>
    <row r="8" spans="1:23" ht="18" customHeight="1" x14ac:dyDescent="0.2">
      <c r="A8" s="16" t="s">
        <v>22</v>
      </c>
      <c r="B8" s="53">
        <v>8180</v>
      </c>
      <c r="C8" s="53">
        <v>9737</v>
      </c>
      <c r="D8" s="53">
        <v>11429</v>
      </c>
      <c r="E8" s="53">
        <v>12131</v>
      </c>
      <c r="F8" s="53">
        <v>14042</v>
      </c>
      <c r="G8" s="53">
        <v>13613</v>
      </c>
      <c r="H8" s="53">
        <f>13932-661</f>
        <v>13271</v>
      </c>
      <c r="I8" s="53">
        <v>13023</v>
      </c>
      <c r="J8" s="53">
        <v>14691</v>
      </c>
      <c r="K8" s="53">
        <v>14131</v>
      </c>
      <c r="L8" s="42">
        <v>16725</v>
      </c>
      <c r="M8" s="42">
        <v>16958</v>
      </c>
      <c r="N8" s="42">
        <v>16224</v>
      </c>
      <c r="O8" s="42">
        <v>14766</v>
      </c>
      <c r="P8" s="42">
        <v>18544</v>
      </c>
      <c r="Q8" s="42">
        <v>24127</v>
      </c>
      <c r="R8" s="42">
        <v>25390</v>
      </c>
      <c r="S8" s="86">
        <v>31796</v>
      </c>
      <c r="T8" s="86">
        <v>35234</v>
      </c>
      <c r="U8" s="86">
        <v>35016</v>
      </c>
      <c r="V8" s="42">
        <f>'κατά φύλο, μήνα 2014,2015'!K10</f>
        <v>30314</v>
      </c>
      <c r="W8" s="203">
        <f t="shared" si="0"/>
        <v>-0.13428147132739321</v>
      </c>
    </row>
    <row r="9" spans="1:23" ht="18" customHeight="1" x14ac:dyDescent="0.2">
      <c r="A9" s="16" t="s">
        <v>23</v>
      </c>
      <c r="B9" s="53">
        <v>4784</v>
      </c>
      <c r="C9" s="53">
        <v>6373</v>
      </c>
      <c r="D9" s="53">
        <v>7704</v>
      </c>
      <c r="E9" s="53">
        <v>7688</v>
      </c>
      <c r="F9" s="53">
        <v>8442</v>
      </c>
      <c r="G9" s="53">
        <f>9893-687</f>
        <v>9206</v>
      </c>
      <c r="H9" s="53">
        <f>9015-407</f>
        <v>8608</v>
      </c>
      <c r="I9" s="53">
        <v>7645</v>
      </c>
      <c r="J9" s="54" t="s">
        <v>19</v>
      </c>
      <c r="K9" s="53">
        <v>8906</v>
      </c>
      <c r="L9" s="42">
        <v>11089</v>
      </c>
      <c r="M9" s="42">
        <v>12239</v>
      </c>
      <c r="N9" s="42">
        <v>11566</v>
      </c>
      <c r="O9" s="42">
        <v>10318</v>
      </c>
      <c r="P9" s="42">
        <v>14862</v>
      </c>
      <c r="Q9" s="42">
        <v>18931</v>
      </c>
      <c r="R9" s="42">
        <v>21153</v>
      </c>
      <c r="S9" s="42">
        <v>27901</v>
      </c>
      <c r="T9" s="86">
        <v>31887</v>
      </c>
      <c r="U9" s="86">
        <v>28218</v>
      </c>
      <c r="V9" s="42">
        <f>'κατά φύλο, μήνα 2014,2015'!K11</f>
        <v>22988</v>
      </c>
      <c r="W9" s="203">
        <f t="shared" si="0"/>
        <v>-0.1853426890637182</v>
      </c>
    </row>
    <row r="10" spans="1:23" ht="18" customHeight="1" x14ac:dyDescent="0.2">
      <c r="A10" s="16" t="s">
        <v>24</v>
      </c>
      <c r="B10" s="53">
        <v>4863</v>
      </c>
      <c r="C10" s="53">
        <v>6134</v>
      </c>
      <c r="D10" s="53">
        <v>7510</v>
      </c>
      <c r="E10" s="53">
        <v>7129</v>
      </c>
      <c r="F10" s="53">
        <v>7827</v>
      </c>
      <c r="G10" s="53">
        <v>8703</v>
      </c>
      <c r="H10" s="53">
        <f>8652-291</f>
        <v>8361</v>
      </c>
      <c r="I10" s="53">
        <v>6862</v>
      </c>
      <c r="J10" s="53">
        <v>8573</v>
      </c>
      <c r="K10" s="53">
        <v>7739</v>
      </c>
      <c r="L10" s="42">
        <v>10521</v>
      </c>
      <c r="M10" s="42">
        <v>10922</v>
      </c>
      <c r="N10" s="42">
        <v>9409</v>
      </c>
      <c r="O10" s="42">
        <v>8802</v>
      </c>
      <c r="P10" s="42">
        <v>13253</v>
      </c>
      <c r="Q10" s="42">
        <v>16873</v>
      </c>
      <c r="R10" s="42">
        <v>18627</v>
      </c>
      <c r="S10" s="42">
        <v>24512</v>
      </c>
      <c r="T10" s="86">
        <v>27981</v>
      </c>
      <c r="U10" s="86">
        <v>23335</v>
      </c>
      <c r="V10" s="324">
        <f>'κατά φύλο, μήνα 2014,2015'!K12</f>
        <v>17637</v>
      </c>
      <c r="W10" s="203">
        <f t="shared" si="0"/>
        <v>-0.24418255838868652</v>
      </c>
    </row>
    <row r="11" spans="1:23" ht="18" customHeight="1" thickBot="1" x14ac:dyDescent="0.25">
      <c r="A11" s="80" t="s">
        <v>25</v>
      </c>
      <c r="B11" s="119">
        <v>5189</v>
      </c>
      <c r="C11" s="119">
        <v>6841</v>
      </c>
      <c r="D11" s="119">
        <v>7867</v>
      </c>
      <c r="E11" s="119">
        <v>7712</v>
      </c>
      <c r="F11" s="119">
        <v>8201</v>
      </c>
      <c r="G11" s="119">
        <v>8720</v>
      </c>
      <c r="H11" s="119">
        <f>8952-233</f>
        <v>8719</v>
      </c>
      <c r="I11" s="119">
        <v>7303</v>
      </c>
      <c r="J11" s="119">
        <v>8243</v>
      </c>
      <c r="K11" s="119">
        <v>8029</v>
      </c>
      <c r="L11" s="120">
        <v>10762</v>
      </c>
      <c r="M11" s="120">
        <v>10769</v>
      </c>
      <c r="N11" s="120">
        <v>9820</v>
      </c>
      <c r="O11" s="120">
        <v>9044</v>
      </c>
      <c r="P11" s="120">
        <v>14394</v>
      </c>
      <c r="Q11" s="120">
        <v>17593</v>
      </c>
      <c r="R11" s="120">
        <v>19276</v>
      </c>
      <c r="S11" s="121">
        <v>24090</v>
      </c>
      <c r="T11" s="121">
        <v>28290</v>
      </c>
      <c r="U11" s="121">
        <v>22958</v>
      </c>
      <c r="V11" s="324">
        <f>'κατά φύλο, μήνα 2014,2015'!K13</f>
        <v>17842</v>
      </c>
      <c r="W11" s="203">
        <f t="shared" si="0"/>
        <v>-0.22284171095043126</v>
      </c>
    </row>
    <row r="12" spans="1:23" ht="38.25" customHeight="1" thickBot="1" x14ac:dyDescent="0.25">
      <c r="A12" s="205" t="s">
        <v>45</v>
      </c>
      <c r="B12" s="123">
        <f t="shared" ref="B12:L12" si="1">AVERAGE(B6:B11)</f>
        <v>7117</v>
      </c>
      <c r="C12" s="123">
        <f t="shared" si="1"/>
        <v>8526</v>
      </c>
      <c r="D12" s="123">
        <f t="shared" si="1"/>
        <v>10068.5</v>
      </c>
      <c r="E12" s="123">
        <f t="shared" si="1"/>
        <v>9766.6666666666661</v>
      </c>
      <c r="F12" s="123">
        <f t="shared" si="1"/>
        <v>11329.333333333334</v>
      </c>
      <c r="G12" s="123">
        <f t="shared" si="1"/>
        <v>11441.333333333334</v>
      </c>
      <c r="H12" s="123">
        <f t="shared" si="1"/>
        <v>11293.333333333334</v>
      </c>
      <c r="I12" s="123">
        <f t="shared" si="1"/>
        <v>10652.833333333334</v>
      </c>
      <c r="J12" s="123">
        <f t="shared" si="1"/>
        <v>12484</v>
      </c>
      <c r="K12" s="123">
        <f t="shared" si="1"/>
        <v>11592</v>
      </c>
      <c r="L12" s="93">
        <f t="shared" si="1"/>
        <v>14197.5</v>
      </c>
      <c r="M12" s="93">
        <f t="shared" ref="M12:U12" si="2">AVERAGE(M6:M11)</f>
        <v>14518.5</v>
      </c>
      <c r="N12" s="93">
        <f t="shared" si="2"/>
        <v>13732</v>
      </c>
      <c r="O12" s="93">
        <f t="shared" si="2"/>
        <v>12548.166666666666</v>
      </c>
      <c r="P12" s="93">
        <f t="shared" si="2"/>
        <v>16350</v>
      </c>
      <c r="Q12" s="93">
        <f t="shared" si="2"/>
        <v>21142</v>
      </c>
      <c r="R12" s="93">
        <f t="shared" si="2"/>
        <v>22936</v>
      </c>
      <c r="S12" s="93">
        <f t="shared" si="2"/>
        <v>28811.833333333332</v>
      </c>
      <c r="T12" s="93">
        <f t="shared" si="2"/>
        <v>32678.166666666668</v>
      </c>
      <c r="U12" s="93">
        <f t="shared" si="2"/>
        <v>30793.5</v>
      </c>
      <c r="V12" s="93">
        <f>AVERAGE(V6:V11)</f>
        <v>25152.833333333332</v>
      </c>
      <c r="W12" s="206">
        <f t="shared" si="0"/>
        <v>-0.18317718566147623</v>
      </c>
    </row>
    <row r="13" spans="1:23" ht="18" customHeight="1" x14ac:dyDescent="0.2">
      <c r="A13" s="79" t="s">
        <v>26</v>
      </c>
      <c r="B13" s="117">
        <v>6680</v>
      </c>
      <c r="C13" s="117">
        <v>7962</v>
      </c>
      <c r="D13" s="117">
        <v>8980</v>
      </c>
      <c r="E13" s="117">
        <v>8604</v>
      </c>
      <c r="F13" s="117">
        <v>9632</v>
      </c>
      <c r="G13" s="117">
        <f>10233-352</f>
        <v>9881</v>
      </c>
      <c r="H13" s="117">
        <f>296+9999-310</f>
        <v>9985</v>
      </c>
      <c r="I13" s="117">
        <v>8758</v>
      </c>
      <c r="J13" s="117">
        <v>9772</v>
      </c>
      <c r="K13" s="117">
        <v>9509</v>
      </c>
      <c r="L13" s="118">
        <v>11705</v>
      </c>
      <c r="M13" s="118">
        <v>11835</v>
      </c>
      <c r="N13" s="118">
        <v>10821</v>
      </c>
      <c r="O13" s="118">
        <v>10313</v>
      </c>
      <c r="P13" s="118">
        <v>15817</v>
      </c>
      <c r="Q13" s="118">
        <v>18443</v>
      </c>
      <c r="R13" s="118">
        <v>20024</v>
      </c>
      <c r="S13" s="118">
        <v>25399</v>
      </c>
      <c r="T13" s="122">
        <v>29528</v>
      </c>
      <c r="U13" s="122">
        <v>22590</v>
      </c>
      <c r="V13" s="118">
        <f>'κατά φύλο, μήνα 2014,2015'!K16</f>
        <v>18253</v>
      </c>
      <c r="W13" s="204">
        <f t="shared" si="0"/>
        <v>-0.19198760513501545</v>
      </c>
    </row>
    <row r="14" spans="1:23" ht="18" customHeight="1" x14ac:dyDescent="0.2">
      <c r="A14" s="16" t="s">
        <v>7</v>
      </c>
      <c r="B14" s="53">
        <v>6621</v>
      </c>
      <c r="C14" s="53">
        <v>7849</v>
      </c>
      <c r="D14" s="53">
        <v>8752</v>
      </c>
      <c r="E14" s="53">
        <v>8486</v>
      </c>
      <c r="F14" s="53">
        <v>9969</v>
      </c>
      <c r="G14" s="53">
        <v>10059</v>
      </c>
      <c r="H14" s="53">
        <f>10342-300</f>
        <v>10042</v>
      </c>
      <c r="I14" s="53">
        <v>8633</v>
      </c>
      <c r="J14" s="53">
        <v>9178</v>
      </c>
      <c r="K14" s="53">
        <v>9132</v>
      </c>
      <c r="L14" s="42">
        <v>11668</v>
      </c>
      <c r="M14" s="42">
        <v>11752</v>
      </c>
      <c r="N14" s="42">
        <v>10761</v>
      </c>
      <c r="O14" s="42">
        <v>10335</v>
      </c>
      <c r="P14" s="42">
        <v>15904</v>
      </c>
      <c r="Q14" s="42">
        <v>17925</v>
      </c>
      <c r="R14" s="42">
        <v>20501</v>
      </c>
      <c r="S14" s="42">
        <v>24866</v>
      </c>
      <c r="T14" s="86">
        <v>30345</v>
      </c>
      <c r="U14" s="86">
        <v>21432</v>
      </c>
      <c r="V14" s="118">
        <f>'κατά φύλο, μήνα 2014,2015'!K17</f>
        <v>17759</v>
      </c>
      <c r="W14" s="204">
        <f t="shared" si="0"/>
        <v>-0.17137924598730869</v>
      </c>
    </row>
    <row r="15" spans="1:23" ht="18" customHeight="1" x14ac:dyDescent="0.2">
      <c r="A15" s="16" t="s">
        <v>27</v>
      </c>
      <c r="B15" s="53">
        <v>6233</v>
      </c>
      <c r="C15" s="53">
        <v>7440</v>
      </c>
      <c r="D15" s="53">
        <v>8025</v>
      </c>
      <c r="E15" s="53">
        <v>8409</v>
      </c>
      <c r="F15" s="53">
        <v>9418</v>
      </c>
      <c r="G15" s="53">
        <v>9135</v>
      </c>
      <c r="H15" s="53">
        <f>9554-295</f>
        <v>9259</v>
      </c>
      <c r="I15" s="53">
        <v>7951</v>
      </c>
      <c r="J15" s="53">
        <v>8299</v>
      </c>
      <c r="K15" s="53">
        <v>8609</v>
      </c>
      <c r="L15" s="42">
        <v>11135</v>
      </c>
      <c r="M15" s="42">
        <v>11508</v>
      </c>
      <c r="N15" s="42">
        <v>10617</v>
      </c>
      <c r="O15" s="42">
        <v>9697</v>
      </c>
      <c r="P15" s="42">
        <v>15896</v>
      </c>
      <c r="Q15" s="42">
        <v>17103</v>
      </c>
      <c r="R15" s="42">
        <v>20171</v>
      </c>
      <c r="S15" s="86">
        <v>24913</v>
      </c>
      <c r="T15" s="86">
        <v>29550</v>
      </c>
      <c r="U15" s="86">
        <v>21500</v>
      </c>
      <c r="V15" s="118">
        <f>'κατά φύλο, μήνα 2014,2015'!K18</f>
        <v>16132</v>
      </c>
      <c r="W15" s="204">
        <f t="shared" si="0"/>
        <v>-0.24967441860465112</v>
      </c>
    </row>
    <row r="16" spans="1:23" ht="18" customHeight="1" x14ac:dyDescent="0.2">
      <c r="A16" s="16" t="s">
        <v>28</v>
      </c>
      <c r="B16" s="53">
        <v>6119</v>
      </c>
      <c r="C16" s="53">
        <v>7280</v>
      </c>
      <c r="D16" s="53">
        <v>7475</v>
      </c>
      <c r="E16" s="53">
        <v>7732</v>
      </c>
      <c r="F16" s="53">
        <v>7380</v>
      </c>
      <c r="G16" s="53">
        <f>8844-329</f>
        <v>8515</v>
      </c>
      <c r="H16" s="53">
        <f>9483-298</f>
        <v>9185</v>
      </c>
      <c r="I16" s="53">
        <v>7450</v>
      </c>
      <c r="J16" s="53">
        <v>7894</v>
      </c>
      <c r="K16" s="53">
        <v>8105</v>
      </c>
      <c r="L16" s="42">
        <v>9847</v>
      </c>
      <c r="M16" s="42">
        <v>9396</v>
      </c>
      <c r="N16" s="42">
        <v>8345</v>
      </c>
      <c r="O16" s="42">
        <v>8194</v>
      </c>
      <c r="P16" s="42">
        <v>14225</v>
      </c>
      <c r="Q16" s="42">
        <v>15052</v>
      </c>
      <c r="R16" s="42">
        <v>18540</v>
      </c>
      <c r="S16" s="42">
        <v>22957</v>
      </c>
      <c r="T16" s="86">
        <v>27093</v>
      </c>
      <c r="U16" s="86">
        <v>17937</v>
      </c>
      <c r="V16" s="118">
        <f>'κατά φύλο, μήνα 2014,2015'!K19</f>
        <v>14132</v>
      </c>
      <c r="W16" s="204">
        <f t="shared" si="0"/>
        <v>-0.2121313486090205</v>
      </c>
    </row>
    <row r="17" spans="1:23" ht="18" customHeight="1" x14ac:dyDescent="0.2">
      <c r="A17" s="16" t="s">
        <v>29</v>
      </c>
      <c r="B17" s="53">
        <v>6416</v>
      </c>
      <c r="C17" s="53">
        <v>8908</v>
      </c>
      <c r="D17" s="53">
        <v>8589</v>
      </c>
      <c r="E17" s="53">
        <v>9186</v>
      </c>
      <c r="F17" s="53">
        <f>10259-1134</f>
        <v>9125</v>
      </c>
      <c r="G17" s="53">
        <v>9905</v>
      </c>
      <c r="H17" s="53">
        <v>12316</v>
      </c>
      <c r="I17" s="53">
        <v>10392</v>
      </c>
      <c r="J17" s="53">
        <v>10560</v>
      </c>
      <c r="K17" s="53">
        <v>10575</v>
      </c>
      <c r="L17" s="42">
        <v>13614</v>
      </c>
      <c r="M17" s="42">
        <v>12990</v>
      </c>
      <c r="N17" s="42">
        <v>12052</v>
      </c>
      <c r="O17" s="42">
        <v>11853</v>
      </c>
      <c r="P17" s="42">
        <v>19333</v>
      </c>
      <c r="Q17" s="42">
        <v>20238</v>
      </c>
      <c r="R17" s="42">
        <v>24943</v>
      </c>
      <c r="S17" s="42">
        <v>29393</v>
      </c>
      <c r="T17" s="86">
        <v>32643</v>
      </c>
      <c r="U17" s="86">
        <v>25814</v>
      </c>
      <c r="V17" s="118">
        <f>'κατά φύλο, μήνα 2014,2015'!K20</f>
        <v>23214</v>
      </c>
      <c r="W17" s="204">
        <f t="shared" si="0"/>
        <v>-0.10072053924227165</v>
      </c>
    </row>
    <row r="18" spans="1:23" ht="18" customHeight="1" thickBot="1" x14ac:dyDescent="0.25">
      <c r="A18" s="80" t="s">
        <v>30</v>
      </c>
      <c r="B18" s="119">
        <v>8226</v>
      </c>
      <c r="C18" s="119">
        <v>11214</v>
      </c>
      <c r="D18" s="119">
        <v>9915</v>
      </c>
      <c r="E18" s="119">
        <v>12477</v>
      </c>
      <c r="F18" s="119">
        <f>12981-1262</f>
        <v>11719</v>
      </c>
      <c r="G18" s="119">
        <v>13133</v>
      </c>
      <c r="H18" s="119">
        <f>16077-775</f>
        <v>15302</v>
      </c>
      <c r="I18" s="119">
        <v>13658</v>
      </c>
      <c r="J18" s="119">
        <v>13824</v>
      </c>
      <c r="K18" s="119">
        <v>14111</v>
      </c>
      <c r="L18" s="120">
        <v>16294</v>
      </c>
      <c r="M18" s="120">
        <v>15903</v>
      </c>
      <c r="N18" s="120">
        <v>15648</v>
      </c>
      <c r="O18" s="120">
        <v>15669</v>
      </c>
      <c r="P18" s="120">
        <v>22938</v>
      </c>
      <c r="Q18" s="120">
        <v>24154</v>
      </c>
      <c r="R18" s="121">
        <v>29034</v>
      </c>
      <c r="S18" s="120">
        <v>33374</v>
      </c>
      <c r="T18" s="121">
        <v>36716</v>
      </c>
      <c r="U18" s="121">
        <v>29637</v>
      </c>
      <c r="V18" s="118">
        <f>'κατά φύλο, μήνα 2014,2015'!K21</f>
        <v>26943</v>
      </c>
      <c r="W18" s="204">
        <f t="shared" si="0"/>
        <v>-9.0899888652697602E-2</v>
      </c>
    </row>
    <row r="19" spans="1:23" ht="39.75" customHeight="1" thickBot="1" x14ac:dyDescent="0.25">
      <c r="A19" s="205" t="s">
        <v>43</v>
      </c>
      <c r="B19" s="123">
        <f t="shared" ref="B19:L19" si="3">AVERAGE(B13:B18)</f>
        <v>6715.833333333333</v>
      </c>
      <c r="C19" s="123">
        <f t="shared" si="3"/>
        <v>8442.1666666666661</v>
      </c>
      <c r="D19" s="123">
        <f t="shared" si="3"/>
        <v>8622.6666666666661</v>
      </c>
      <c r="E19" s="123">
        <f t="shared" si="3"/>
        <v>9149</v>
      </c>
      <c r="F19" s="123">
        <f t="shared" si="3"/>
        <v>9540.5</v>
      </c>
      <c r="G19" s="123">
        <f t="shared" si="3"/>
        <v>10104.666666666666</v>
      </c>
      <c r="H19" s="123">
        <f t="shared" si="3"/>
        <v>11014.833333333334</v>
      </c>
      <c r="I19" s="123">
        <f t="shared" si="3"/>
        <v>9473.6666666666661</v>
      </c>
      <c r="J19" s="123">
        <f t="shared" si="3"/>
        <v>9921.1666666666661</v>
      </c>
      <c r="K19" s="123">
        <f t="shared" si="3"/>
        <v>10006.833333333334</v>
      </c>
      <c r="L19" s="93">
        <f t="shared" si="3"/>
        <v>12377.166666666666</v>
      </c>
      <c r="M19" s="93">
        <f t="shared" ref="M19:S19" si="4">AVERAGE(M13:M18)</f>
        <v>12230.666666666666</v>
      </c>
      <c r="N19" s="93">
        <f t="shared" si="4"/>
        <v>11374</v>
      </c>
      <c r="O19" s="93">
        <f t="shared" si="4"/>
        <v>11010.166666666666</v>
      </c>
      <c r="P19" s="93">
        <f t="shared" si="4"/>
        <v>17352.166666666668</v>
      </c>
      <c r="Q19" s="93">
        <f t="shared" si="4"/>
        <v>18819.166666666668</v>
      </c>
      <c r="R19" s="93">
        <f t="shared" si="4"/>
        <v>22202.166666666668</v>
      </c>
      <c r="S19" s="93">
        <f t="shared" si="4"/>
        <v>26817</v>
      </c>
      <c r="T19" s="207">
        <f>AVERAGE(T13:T18)</f>
        <v>30979.166666666668</v>
      </c>
      <c r="U19" s="207">
        <f>AVERAGE(U13:U18)</f>
        <v>23151.666666666668</v>
      </c>
      <c r="V19" s="207">
        <f>AVERAGE(V13:V18)</f>
        <v>19405.5</v>
      </c>
      <c r="W19" s="339">
        <f t="shared" si="0"/>
        <v>-0.1618098049096538</v>
      </c>
    </row>
    <row r="20" spans="1:23" ht="27.75" customHeight="1" thickBot="1" x14ac:dyDescent="0.25">
      <c r="A20" s="205" t="s">
        <v>46</v>
      </c>
      <c r="B20" s="58">
        <f t="shared" ref="B20:L20" si="5">AVERAGE(B6:B11,B13:B18)</f>
        <v>6916.416666666667</v>
      </c>
      <c r="C20" s="58">
        <f t="shared" si="5"/>
        <v>8484.0833333333339</v>
      </c>
      <c r="D20" s="58">
        <f t="shared" si="5"/>
        <v>9345.5833333333339</v>
      </c>
      <c r="E20" s="58">
        <f t="shared" si="5"/>
        <v>9457.8333333333339</v>
      </c>
      <c r="F20" s="58">
        <f t="shared" si="5"/>
        <v>10434.916666666666</v>
      </c>
      <c r="G20" s="58">
        <f t="shared" si="5"/>
        <v>10773</v>
      </c>
      <c r="H20" s="58">
        <f t="shared" si="5"/>
        <v>11154.083333333334</v>
      </c>
      <c r="I20" s="58">
        <f t="shared" si="5"/>
        <v>10063.25</v>
      </c>
      <c r="J20" s="58">
        <f t="shared" si="5"/>
        <v>11086.09090909091</v>
      </c>
      <c r="K20" s="58">
        <f t="shared" si="5"/>
        <v>10799.416666666666</v>
      </c>
      <c r="L20" s="58">
        <f t="shared" si="5"/>
        <v>13287.333333333334</v>
      </c>
      <c r="M20" s="55">
        <f t="shared" ref="M20:S20" si="6">AVERAGE(M6:M11,M13:M18)</f>
        <v>13374.583333333334</v>
      </c>
      <c r="N20" s="55">
        <f t="shared" si="6"/>
        <v>12553</v>
      </c>
      <c r="O20" s="55">
        <f t="shared" si="6"/>
        <v>11779.166666666666</v>
      </c>
      <c r="P20" s="55">
        <f t="shared" si="6"/>
        <v>16851.083333333332</v>
      </c>
      <c r="Q20" s="55">
        <f t="shared" si="6"/>
        <v>19980.583333333332</v>
      </c>
      <c r="R20" s="55">
        <f t="shared" si="6"/>
        <v>22569.083333333332</v>
      </c>
      <c r="S20" s="55">
        <f t="shared" si="6"/>
        <v>27814.416666666668</v>
      </c>
      <c r="T20" s="116">
        <f>AVERAGE(T6:T11,T13:T18)</f>
        <v>31828.666666666668</v>
      </c>
      <c r="U20" s="116">
        <f>AVERAGE(U6:U11,U13:U18)</f>
        <v>26972.583333333332</v>
      </c>
      <c r="V20" s="116">
        <f>AVERAGE(V6:V11,V13:V18)</f>
        <v>22279.166666666668</v>
      </c>
      <c r="W20" s="206">
        <f t="shared" si="0"/>
        <v>-0.17400693914499588</v>
      </c>
    </row>
    <row r="21" spans="1:23" x14ac:dyDescent="0.2">
      <c r="A21" s="3"/>
    </row>
    <row r="23" spans="1:23" x14ac:dyDescent="0.2">
      <c r="A23" s="39"/>
      <c r="Q23" s="373" t="s">
        <v>12</v>
      </c>
      <c r="R23" s="373"/>
      <c r="S23" s="373"/>
      <c r="T23" s="373"/>
      <c r="U23" s="373"/>
      <c r="V23" s="373"/>
      <c r="W23" s="373"/>
    </row>
    <row r="24" spans="1:23" ht="14.25" x14ac:dyDescent="0.2">
      <c r="A24" s="22"/>
      <c r="Q24" s="373" t="s">
        <v>11</v>
      </c>
      <c r="R24" s="373"/>
      <c r="S24" s="373"/>
      <c r="T24" s="373"/>
      <c r="U24" s="373"/>
      <c r="V24" s="373"/>
      <c r="W24" s="373"/>
    </row>
    <row r="25" spans="1:23" x14ac:dyDescent="0.2">
      <c r="A25" s="32">
        <f>'κατά φύλο, μήνα 2014,2015'!A29</f>
        <v>42419</v>
      </c>
      <c r="O25" s="31"/>
      <c r="P25" s="36"/>
      <c r="Q25" s="36"/>
      <c r="R25" s="36"/>
      <c r="S25" s="36"/>
    </row>
    <row r="26" spans="1:23" x14ac:dyDescent="0.2">
      <c r="A26" s="39"/>
      <c r="O26" s="36"/>
      <c r="P26" s="36"/>
      <c r="Q26" s="36"/>
      <c r="R26" s="36"/>
      <c r="S26" s="34"/>
    </row>
  </sheetData>
  <mergeCells count="4">
    <mergeCell ref="F4:Q4"/>
    <mergeCell ref="A3:W3"/>
    <mergeCell ref="Q23:W23"/>
    <mergeCell ref="Q24:W24"/>
  </mergeCells>
  <phoneticPr fontId="0" type="noConversion"/>
  <pageMargins left="0" right="0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T19" zoomScaleNormal="100" workbookViewId="0">
      <selection activeCell="AC20" sqref="AC20"/>
    </sheetView>
  </sheetViews>
  <sheetFormatPr defaultRowHeight="12.75" x14ac:dyDescent="0.2"/>
  <cols>
    <col min="1" max="1" width="14.5703125" customWidth="1"/>
    <col min="2" max="2" width="13.7109375" hidden="1" customWidth="1"/>
    <col min="3" max="3" width="10.7109375" hidden="1" customWidth="1"/>
    <col min="4" max="4" width="11.42578125" hidden="1" customWidth="1"/>
    <col min="5" max="5" width="14.42578125" hidden="1" customWidth="1"/>
    <col min="6" max="6" width="10.7109375" hidden="1" customWidth="1"/>
    <col min="7" max="7" width="12" hidden="1" customWidth="1"/>
    <col min="8" max="8" width="10.28515625" hidden="1" customWidth="1"/>
    <col min="9" max="9" width="10.7109375" hidden="1" customWidth="1"/>
    <col min="10" max="10" width="12.85546875" hidden="1" customWidth="1"/>
    <col min="11" max="11" width="10.7109375" hidden="1" customWidth="1"/>
    <col min="12" max="12" width="10.140625" hidden="1" customWidth="1"/>
    <col min="13" max="13" width="12.140625" hidden="1" customWidth="1"/>
    <col min="14" max="14" width="10" hidden="1" customWidth="1"/>
    <col min="15" max="15" width="10.7109375" hidden="1" customWidth="1"/>
    <col min="16" max="16" width="12.7109375" hidden="1" customWidth="1"/>
    <col min="17" max="17" width="9.42578125" hidden="1" customWidth="1"/>
    <col min="18" max="18" width="11" hidden="1" customWidth="1"/>
    <col min="19" max="19" width="12.42578125" customWidth="1"/>
    <col min="21" max="21" width="9.5703125" customWidth="1"/>
    <col min="22" max="22" width="13" customWidth="1"/>
    <col min="23" max="23" width="9.42578125" customWidth="1"/>
    <col min="24" max="24" width="11" customWidth="1"/>
    <col min="27" max="27" width="10.28515625" bestFit="1" customWidth="1"/>
    <col min="28" max="28" width="13.7109375" bestFit="1" customWidth="1"/>
  </cols>
  <sheetData>
    <row r="1" spans="1:30" x14ac:dyDescent="0.2">
      <c r="A1" s="126" t="s">
        <v>102</v>
      </c>
    </row>
    <row r="2" spans="1:30" ht="27.75" customHeight="1" x14ac:dyDescent="0.2">
      <c r="A2" s="374" t="s">
        <v>125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</row>
    <row r="3" spans="1:30" ht="13.5" thickBot="1" x14ac:dyDescent="0.25">
      <c r="A3" s="388"/>
      <c r="B3" s="388"/>
      <c r="C3" s="4"/>
      <c r="D3" s="4"/>
      <c r="E3" s="4"/>
      <c r="F3" s="4"/>
      <c r="G3" s="4"/>
    </row>
    <row r="4" spans="1:30" ht="19.5" customHeight="1" x14ac:dyDescent="0.25">
      <c r="A4" s="385" t="s">
        <v>0</v>
      </c>
      <c r="B4" s="377">
        <v>2010</v>
      </c>
      <c r="C4" s="377"/>
      <c r="D4" s="377"/>
      <c r="E4" s="377"/>
      <c r="F4" s="377"/>
      <c r="G4" s="377">
        <v>2011</v>
      </c>
      <c r="H4" s="377"/>
      <c r="I4" s="377"/>
      <c r="J4" s="377"/>
      <c r="K4" s="377"/>
      <c r="L4" s="378" t="s">
        <v>60</v>
      </c>
      <c r="M4" s="377">
        <v>2012</v>
      </c>
      <c r="N4" s="377"/>
      <c r="O4" s="377"/>
      <c r="P4" s="377"/>
      <c r="Q4" s="377"/>
      <c r="R4" s="378" t="s">
        <v>94</v>
      </c>
      <c r="S4" s="377">
        <v>2014</v>
      </c>
      <c r="T4" s="377"/>
      <c r="U4" s="377"/>
      <c r="V4" s="377"/>
      <c r="W4" s="377"/>
      <c r="X4" s="378" t="s">
        <v>117</v>
      </c>
      <c r="Y4" s="377">
        <v>2015</v>
      </c>
      <c r="Z4" s="377"/>
      <c r="AA4" s="377"/>
      <c r="AB4" s="377"/>
      <c r="AC4" s="377"/>
      <c r="AD4" s="383" t="s">
        <v>124</v>
      </c>
    </row>
    <row r="5" spans="1:30" ht="37.5" customHeight="1" x14ac:dyDescent="0.2">
      <c r="A5" s="386"/>
      <c r="B5" s="208" t="s">
        <v>36</v>
      </c>
      <c r="C5" s="209" t="s">
        <v>37</v>
      </c>
      <c r="D5" s="209" t="s">
        <v>40</v>
      </c>
      <c r="E5" s="210" t="s">
        <v>38</v>
      </c>
      <c r="F5" s="209" t="s">
        <v>39</v>
      </c>
      <c r="G5" s="208" t="s">
        <v>36</v>
      </c>
      <c r="H5" s="209" t="s">
        <v>37</v>
      </c>
      <c r="I5" s="209" t="s">
        <v>40</v>
      </c>
      <c r="J5" s="210" t="s">
        <v>38</v>
      </c>
      <c r="K5" s="209" t="s">
        <v>39</v>
      </c>
      <c r="L5" s="379"/>
      <c r="M5" s="208" t="s">
        <v>36</v>
      </c>
      <c r="N5" s="209" t="s">
        <v>37</v>
      </c>
      <c r="O5" s="209" t="s">
        <v>40</v>
      </c>
      <c r="P5" s="210" t="s">
        <v>38</v>
      </c>
      <c r="Q5" s="209" t="s">
        <v>39</v>
      </c>
      <c r="R5" s="379"/>
      <c r="S5" s="208" t="s">
        <v>36</v>
      </c>
      <c r="T5" s="209" t="s">
        <v>37</v>
      </c>
      <c r="U5" s="209" t="s">
        <v>40</v>
      </c>
      <c r="V5" s="210" t="s">
        <v>38</v>
      </c>
      <c r="W5" s="209" t="s">
        <v>39</v>
      </c>
      <c r="X5" s="379"/>
      <c r="Y5" s="208" t="s">
        <v>36</v>
      </c>
      <c r="Z5" s="209" t="s">
        <v>37</v>
      </c>
      <c r="AA5" s="209" t="s">
        <v>40</v>
      </c>
      <c r="AB5" s="210" t="s">
        <v>38</v>
      </c>
      <c r="AC5" s="209" t="s">
        <v>39</v>
      </c>
      <c r="AD5" s="384"/>
    </row>
    <row r="6" spans="1:30" ht="18" customHeight="1" x14ac:dyDescent="0.2">
      <c r="A6" s="211" t="s">
        <v>20</v>
      </c>
      <c r="B6" s="42">
        <f>44+14709+37</f>
        <v>14790</v>
      </c>
      <c r="C6" s="42">
        <v>3443</v>
      </c>
      <c r="D6" s="42">
        <v>1510</v>
      </c>
      <c r="E6" s="42">
        <v>277</v>
      </c>
      <c r="F6" s="42">
        <f t="shared" ref="F6:F11" si="0">B6+C6+D6+E6</f>
        <v>20020</v>
      </c>
      <c r="G6" s="42">
        <v>14225</v>
      </c>
      <c r="H6" s="42">
        <v>4452</v>
      </c>
      <c r="I6" s="42">
        <v>1451</v>
      </c>
      <c r="J6" s="42">
        <v>223</v>
      </c>
      <c r="K6" s="42">
        <f>G6+H6+I6+J6</f>
        <v>20351</v>
      </c>
      <c r="L6" s="212">
        <f>(K6/F6)-1</f>
        <v>1.6533466533466434E-2</v>
      </c>
      <c r="M6" s="42">
        <v>17446</v>
      </c>
      <c r="N6" s="42">
        <v>6202</v>
      </c>
      <c r="O6" s="42">
        <v>669</v>
      </c>
      <c r="P6" s="42">
        <v>254</v>
      </c>
      <c r="Q6" s="42">
        <f t="shared" ref="Q6:Q18" si="1">M6+N6+O6+P6</f>
        <v>24571</v>
      </c>
      <c r="R6" s="212">
        <f t="shared" ref="R6:R20" si="2">(Q6/K6)-1</f>
        <v>0.20736081765023839</v>
      </c>
      <c r="S6" s="42">
        <v>18924</v>
      </c>
      <c r="T6" s="42">
        <v>6052</v>
      </c>
      <c r="U6" s="42">
        <v>783</v>
      </c>
      <c r="V6" s="42">
        <v>92</v>
      </c>
      <c r="W6" s="42">
        <v>25851</v>
      </c>
      <c r="X6" s="212">
        <v>-2.8888054094665661E-2</v>
      </c>
      <c r="Y6" s="42">
        <v>16291</v>
      </c>
      <c r="Z6" s="42">
        <v>5698</v>
      </c>
      <c r="AA6" s="42">
        <v>800</v>
      </c>
      <c r="AB6" s="42">
        <v>58</v>
      </c>
      <c r="AC6" s="42">
        <f t="shared" ref="AC6:AC18" si="3">SUM(Y6:AB6)</f>
        <v>22847</v>
      </c>
      <c r="AD6" s="91">
        <f t="shared" ref="AD6:AD18" si="4">(AC6/W6)-1</f>
        <v>-0.1162044021507872</v>
      </c>
    </row>
    <row r="7" spans="1:30" ht="18" customHeight="1" x14ac:dyDescent="0.2">
      <c r="A7" s="211" t="s">
        <v>21</v>
      </c>
      <c r="B7" s="42">
        <f>45+13246+30</f>
        <v>13321</v>
      </c>
      <c r="C7" s="42">
        <v>3534</v>
      </c>
      <c r="D7" s="42">
        <v>1540</v>
      </c>
      <c r="E7" s="42">
        <v>258</v>
      </c>
      <c r="F7" s="42">
        <f t="shared" si="0"/>
        <v>18653</v>
      </c>
      <c r="G7" s="42">
        <v>13628</v>
      </c>
      <c r="H7" s="42">
        <v>4510</v>
      </c>
      <c r="I7" s="42">
        <v>1475</v>
      </c>
      <c r="J7" s="42">
        <v>222</v>
      </c>
      <c r="K7" s="42">
        <f t="shared" ref="K7:K18" si="5">G7+H7+I7+J7</f>
        <v>19835</v>
      </c>
      <c r="L7" s="212">
        <f t="shared" ref="L7:L20" si="6">(K7/F7)-1</f>
        <v>6.3367822870315837E-2</v>
      </c>
      <c r="M7" s="42">
        <v>16730</v>
      </c>
      <c r="N7" s="42">
        <v>6355</v>
      </c>
      <c r="O7" s="42">
        <v>682</v>
      </c>
      <c r="P7" s="42">
        <v>232</v>
      </c>
      <c r="Q7" s="42">
        <f t="shared" si="1"/>
        <v>23999</v>
      </c>
      <c r="R7" s="212">
        <f t="shared" si="2"/>
        <v>0.20993193849256375</v>
      </c>
      <c r="S7" s="42">
        <v>17830</v>
      </c>
      <c r="T7" s="42">
        <v>5870</v>
      </c>
      <c r="U7" s="42">
        <v>759</v>
      </c>
      <c r="V7" s="42">
        <v>72</v>
      </c>
      <c r="W7" s="42">
        <v>24531</v>
      </c>
      <c r="X7" s="212">
        <v>-5.75511929002267E-2</v>
      </c>
      <c r="Y7" s="42">
        <v>15607</v>
      </c>
      <c r="Z7" s="42">
        <v>5651</v>
      </c>
      <c r="AA7" s="42">
        <v>798</v>
      </c>
      <c r="AB7" s="42">
        <v>54</v>
      </c>
      <c r="AC7" s="42">
        <f t="shared" si="3"/>
        <v>22110</v>
      </c>
      <c r="AD7" s="91">
        <f t="shared" si="4"/>
        <v>-9.8691451632628158E-2</v>
      </c>
    </row>
    <row r="8" spans="1:30" ht="18" customHeight="1" x14ac:dyDescent="0.2">
      <c r="A8" s="211" t="s">
        <v>22</v>
      </c>
      <c r="B8" s="42">
        <f>43+12995+32</f>
        <v>13070</v>
      </c>
      <c r="C8" s="42">
        <v>3352</v>
      </c>
      <c r="D8" s="42">
        <v>1436</v>
      </c>
      <c r="E8" s="42">
        <v>260</v>
      </c>
      <c r="F8" s="42">
        <f t="shared" si="0"/>
        <v>18118</v>
      </c>
      <c r="G8" s="42">
        <v>12896</v>
      </c>
      <c r="H8" s="42">
        <v>4268</v>
      </c>
      <c r="I8" s="42">
        <v>1420</v>
      </c>
      <c r="J8" s="42">
        <v>211</v>
      </c>
      <c r="K8" s="42">
        <f t="shared" si="5"/>
        <v>18795</v>
      </c>
      <c r="L8" s="212">
        <f t="shared" si="6"/>
        <v>3.7366155204768825E-2</v>
      </c>
      <c r="M8" s="42">
        <v>16306</v>
      </c>
      <c r="N8" s="42">
        <v>6145</v>
      </c>
      <c r="O8" s="42">
        <v>666</v>
      </c>
      <c r="P8" s="42">
        <v>248</v>
      </c>
      <c r="Q8" s="42">
        <f t="shared" si="1"/>
        <v>23365</v>
      </c>
      <c r="R8" s="212">
        <f t="shared" si="2"/>
        <v>0.24314977387603087</v>
      </c>
      <c r="S8" s="42">
        <v>16624</v>
      </c>
      <c r="T8" s="42">
        <v>5363</v>
      </c>
      <c r="U8" s="42">
        <v>712</v>
      </c>
      <c r="V8" s="42">
        <v>57</v>
      </c>
      <c r="W8" s="42">
        <v>22756</v>
      </c>
      <c r="X8" s="212">
        <v>-0.10631111809291915</v>
      </c>
      <c r="Y8" s="42">
        <v>15272</v>
      </c>
      <c r="Z8" s="42">
        <v>5394</v>
      </c>
      <c r="AA8" s="42">
        <v>775</v>
      </c>
      <c r="AB8" s="42">
        <v>51</v>
      </c>
      <c r="AC8" s="42">
        <f t="shared" si="3"/>
        <v>21492</v>
      </c>
      <c r="AD8" s="91">
        <f t="shared" si="4"/>
        <v>-5.5545790121286687E-2</v>
      </c>
    </row>
    <row r="9" spans="1:30" ht="18" customHeight="1" x14ac:dyDescent="0.2">
      <c r="A9" s="211" t="s">
        <v>23</v>
      </c>
      <c r="B9" s="42">
        <f>31+9163+29</f>
        <v>9223</v>
      </c>
      <c r="C9" s="42">
        <v>2511</v>
      </c>
      <c r="D9" s="42">
        <v>1109</v>
      </c>
      <c r="E9" s="42">
        <v>242</v>
      </c>
      <c r="F9" s="42">
        <f t="shared" si="0"/>
        <v>13085</v>
      </c>
      <c r="G9" s="42">
        <v>10096</v>
      </c>
      <c r="H9" s="42">
        <v>3293</v>
      </c>
      <c r="I9" s="42">
        <v>1107</v>
      </c>
      <c r="J9" s="42">
        <v>197</v>
      </c>
      <c r="K9" s="42">
        <f t="shared" si="5"/>
        <v>14693</v>
      </c>
      <c r="L9" s="212">
        <f t="shared" si="6"/>
        <v>0.12288880397401614</v>
      </c>
      <c r="M9" s="42">
        <v>14506</v>
      </c>
      <c r="N9" s="42">
        <v>5269</v>
      </c>
      <c r="O9" s="42">
        <v>564</v>
      </c>
      <c r="P9" s="42">
        <v>235</v>
      </c>
      <c r="Q9" s="42">
        <f t="shared" si="1"/>
        <v>20574</v>
      </c>
      <c r="R9" s="212">
        <f t="shared" si="2"/>
        <v>0.40025862655686373</v>
      </c>
      <c r="S9" s="42">
        <v>11805</v>
      </c>
      <c r="T9" s="42">
        <v>3693</v>
      </c>
      <c r="U9" s="42">
        <v>490</v>
      </c>
      <c r="V9" s="42">
        <v>41</v>
      </c>
      <c r="W9" s="42">
        <v>16029</v>
      </c>
      <c r="X9" s="212">
        <v>-0.27901223461676861</v>
      </c>
      <c r="Y9" s="42">
        <v>10462</v>
      </c>
      <c r="Z9" s="42">
        <v>3567</v>
      </c>
      <c r="AA9" s="42">
        <v>565</v>
      </c>
      <c r="AB9" s="42">
        <v>47</v>
      </c>
      <c r="AC9" s="42">
        <f t="shared" si="3"/>
        <v>14641</v>
      </c>
      <c r="AD9" s="91">
        <f t="shared" si="4"/>
        <v>-8.6593050096699709E-2</v>
      </c>
    </row>
    <row r="10" spans="1:30" ht="18" customHeight="1" x14ac:dyDescent="0.2">
      <c r="A10" s="211" t="s">
        <v>24</v>
      </c>
      <c r="B10" s="42">
        <f>29+7523+32</f>
        <v>7584</v>
      </c>
      <c r="C10" s="42">
        <v>2003</v>
      </c>
      <c r="D10" s="42">
        <v>942</v>
      </c>
      <c r="E10" s="42">
        <v>211</v>
      </c>
      <c r="F10" s="42">
        <f t="shared" si="0"/>
        <v>10740</v>
      </c>
      <c r="G10" s="42">
        <v>8441</v>
      </c>
      <c r="H10" s="42">
        <v>2526</v>
      </c>
      <c r="I10" s="42">
        <v>953</v>
      </c>
      <c r="J10" s="42">
        <v>189</v>
      </c>
      <c r="K10" s="42">
        <f t="shared" si="5"/>
        <v>12109</v>
      </c>
      <c r="L10" s="212">
        <f t="shared" si="6"/>
        <v>0.1274674115456238</v>
      </c>
      <c r="M10" s="42">
        <v>11333</v>
      </c>
      <c r="N10" s="42">
        <v>3837</v>
      </c>
      <c r="O10" s="42">
        <v>441</v>
      </c>
      <c r="P10" s="42">
        <v>230</v>
      </c>
      <c r="Q10" s="42">
        <f t="shared" si="1"/>
        <v>15841</v>
      </c>
      <c r="R10" s="212">
        <f t="shared" si="2"/>
        <v>0.30820051201585597</v>
      </c>
      <c r="S10" s="42">
        <v>8817</v>
      </c>
      <c r="T10" s="42">
        <v>2257</v>
      </c>
      <c r="U10" s="42">
        <v>343</v>
      </c>
      <c r="V10" s="42">
        <v>34</v>
      </c>
      <c r="W10" s="42">
        <v>11451</v>
      </c>
      <c r="X10" s="212">
        <v>-0.39197153931927997</v>
      </c>
      <c r="Y10" s="42">
        <v>7497</v>
      </c>
      <c r="Z10" s="42">
        <v>2010</v>
      </c>
      <c r="AA10" s="42">
        <v>368</v>
      </c>
      <c r="AB10" s="42">
        <v>44</v>
      </c>
      <c r="AC10" s="42">
        <f t="shared" si="3"/>
        <v>9919</v>
      </c>
      <c r="AD10" s="91">
        <f t="shared" si="4"/>
        <v>-0.13378744214479088</v>
      </c>
    </row>
    <row r="11" spans="1:30" ht="18" customHeight="1" thickBot="1" x14ac:dyDescent="0.25">
      <c r="A11" s="217" t="s">
        <v>25</v>
      </c>
      <c r="B11" s="120">
        <f>26+8150+33</f>
        <v>8209</v>
      </c>
      <c r="C11" s="120">
        <v>1838</v>
      </c>
      <c r="D11" s="120">
        <v>869</v>
      </c>
      <c r="E11" s="120">
        <v>188</v>
      </c>
      <c r="F11" s="120">
        <f t="shared" si="0"/>
        <v>11104</v>
      </c>
      <c r="G11" s="120">
        <v>9388</v>
      </c>
      <c r="H11" s="120">
        <v>2158</v>
      </c>
      <c r="I11" s="120">
        <v>982</v>
      </c>
      <c r="J11" s="120">
        <v>191</v>
      </c>
      <c r="K11" s="120">
        <f t="shared" si="5"/>
        <v>12719</v>
      </c>
      <c r="L11" s="218">
        <f t="shared" si="6"/>
        <v>0.14544308357348701</v>
      </c>
      <c r="M11" s="120">
        <v>11649</v>
      </c>
      <c r="N11" s="120">
        <v>3218</v>
      </c>
      <c r="O11" s="120">
        <v>403</v>
      </c>
      <c r="P11" s="120">
        <v>218</v>
      </c>
      <c r="Q11" s="120">
        <f t="shared" si="1"/>
        <v>15488</v>
      </c>
      <c r="R11" s="218">
        <f t="shared" si="2"/>
        <v>0.21770579448069816</v>
      </c>
      <c r="S11" s="120">
        <v>9426</v>
      </c>
      <c r="T11" s="120">
        <v>1758</v>
      </c>
      <c r="U11" s="120">
        <v>303</v>
      </c>
      <c r="V11" s="120">
        <v>33</v>
      </c>
      <c r="W11" s="120">
        <v>11520</v>
      </c>
      <c r="X11" s="218">
        <v>-0.39227685165646764</v>
      </c>
      <c r="Y11" s="120">
        <v>8117</v>
      </c>
      <c r="Z11" s="120">
        <v>1490</v>
      </c>
      <c r="AA11" s="120">
        <v>317</v>
      </c>
      <c r="AB11" s="120">
        <v>34</v>
      </c>
      <c r="AC11" s="120">
        <f t="shared" si="3"/>
        <v>9958</v>
      </c>
      <c r="AD11" s="92">
        <f t="shared" si="4"/>
        <v>-0.13559027777777777</v>
      </c>
    </row>
    <row r="12" spans="1:30" ht="39" customHeight="1" thickBot="1" x14ac:dyDescent="0.25">
      <c r="A12" s="221" t="s">
        <v>42</v>
      </c>
      <c r="B12" s="93">
        <f t="shared" ref="B12:J12" si="7">AVERAGE(B6:B11)</f>
        <v>11032.833333333334</v>
      </c>
      <c r="C12" s="93">
        <f t="shared" si="7"/>
        <v>2780.1666666666665</v>
      </c>
      <c r="D12" s="93">
        <f t="shared" si="7"/>
        <v>1234.3333333333333</v>
      </c>
      <c r="E12" s="93">
        <f t="shared" si="7"/>
        <v>239.33333333333334</v>
      </c>
      <c r="F12" s="93">
        <f t="shared" si="7"/>
        <v>15286.666666666666</v>
      </c>
      <c r="G12" s="93">
        <f t="shared" si="7"/>
        <v>11445.666666666666</v>
      </c>
      <c r="H12" s="93">
        <f t="shared" si="7"/>
        <v>3534.5</v>
      </c>
      <c r="I12" s="93">
        <f t="shared" si="7"/>
        <v>1231.3333333333333</v>
      </c>
      <c r="J12" s="93">
        <f t="shared" si="7"/>
        <v>205.5</v>
      </c>
      <c r="K12" s="93">
        <f>AVERAGE(K6:K11)</f>
        <v>16417</v>
      </c>
      <c r="L12" s="222">
        <f t="shared" si="6"/>
        <v>7.3942433493240367E-2</v>
      </c>
      <c r="M12" s="93">
        <f>AVERAGE(M6:M11)</f>
        <v>14661.666666666666</v>
      </c>
      <c r="N12" s="93">
        <f>AVERAGE(N6:N11)</f>
        <v>5171</v>
      </c>
      <c r="O12" s="93">
        <f>AVERAGE(O6:O11)</f>
        <v>570.83333333333337</v>
      </c>
      <c r="P12" s="93">
        <f>AVERAGE(P6:P11)</f>
        <v>236.16666666666666</v>
      </c>
      <c r="Q12" s="93">
        <f>AVERAGE(Q6:Q11)</f>
        <v>20639.666666666668</v>
      </c>
      <c r="R12" s="222">
        <f t="shared" si="2"/>
        <v>0.25721305151164442</v>
      </c>
      <c r="S12" s="93">
        <f>AVERAGE(S6:S11)</f>
        <v>13904.333333333334</v>
      </c>
      <c r="T12" s="93">
        <f t="shared" ref="T12:V12" si="8">AVERAGE(T6:T11)</f>
        <v>4165.5</v>
      </c>
      <c r="U12" s="93">
        <f t="shared" si="8"/>
        <v>565</v>
      </c>
      <c r="V12" s="93">
        <f t="shared" si="8"/>
        <v>54.833333333333336</v>
      </c>
      <c r="W12" s="93">
        <f>AVERAGE(W6:W11)</f>
        <v>18689.666666666668</v>
      </c>
      <c r="X12" s="222">
        <v>-0.18818819543483456</v>
      </c>
      <c r="Y12" s="93">
        <f>AVERAGE(Y6:Y11)</f>
        <v>12207.666666666666</v>
      </c>
      <c r="Z12" s="93">
        <f t="shared" ref="Z12:AC12" si="9">AVERAGE(Z6:Z11)</f>
        <v>3968.3333333333335</v>
      </c>
      <c r="AA12" s="93">
        <f t="shared" si="9"/>
        <v>603.83333333333337</v>
      </c>
      <c r="AB12" s="93">
        <f t="shared" si="9"/>
        <v>48</v>
      </c>
      <c r="AC12" s="93">
        <f t="shared" si="9"/>
        <v>16827.833333333332</v>
      </c>
      <c r="AD12" s="225">
        <f t="shared" si="4"/>
        <v>-9.9618327418002917E-2</v>
      </c>
    </row>
    <row r="13" spans="1:30" ht="18" customHeight="1" x14ac:dyDescent="0.2">
      <c r="A13" s="219" t="s">
        <v>26</v>
      </c>
      <c r="B13" s="118">
        <f>25+9671+40</f>
        <v>9736</v>
      </c>
      <c r="C13" s="118">
        <v>1885</v>
      </c>
      <c r="D13" s="118">
        <v>934</v>
      </c>
      <c r="E13" s="118">
        <v>194</v>
      </c>
      <c r="F13" s="118">
        <f t="shared" ref="F13:F18" si="10">B13+C13+D13+E13</f>
        <v>12749</v>
      </c>
      <c r="G13" s="118">
        <v>11219</v>
      </c>
      <c r="H13" s="118">
        <v>2316</v>
      </c>
      <c r="I13" s="118">
        <v>1018</v>
      </c>
      <c r="J13" s="118">
        <v>206</v>
      </c>
      <c r="K13" s="118">
        <f t="shared" si="5"/>
        <v>14759</v>
      </c>
      <c r="L13" s="220">
        <f t="shared" si="6"/>
        <v>0.15765942426857005</v>
      </c>
      <c r="M13" s="118">
        <v>13594</v>
      </c>
      <c r="N13" s="118">
        <v>3323</v>
      </c>
      <c r="O13" s="118">
        <v>424</v>
      </c>
      <c r="P13" s="118">
        <v>218</v>
      </c>
      <c r="Q13" s="118">
        <f t="shared" si="1"/>
        <v>17559</v>
      </c>
      <c r="R13" s="220">
        <f t="shared" si="2"/>
        <v>0.18971475032183749</v>
      </c>
      <c r="S13" s="118">
        <v>10842</v>
      </c>
      <c r="T13" s="118">
        <v>1791</v>
      </c>
      <c r="U13" s="118">
        <v>299</v>
      </c>
      <c r="V13" s="118">
        <v>30</v>
      </c>
      <c r="W13" s="118">
        <v>12962</v>
      </c>
      <c r="X13" s="220">
        <v>-0.35274143613302711</v>
      </c>
      <c r="Y13" s="118">
        <v>9964</v>
      </c>
      <c r="Z13" s="118">
        <v>1588</v>
      </c>
      <c r="AA13" s="118">
        <v>331</v>
      </c>
      <c r="AB13" s="118">
        <v>31</v>
      </c>
      <c r="AC13" s="118">
        <f t="shared" si="3"/>
        <v>11914</v>
      </c>
      <c r="AD13" s="125">
        <f t="shared" si="4"/>
        <v>-8.0851720413516404E-2</v>
      </c>
    </row>
    <row r="14" spans="1:30" ht="18" customHeight="1" x14ac:dyDescent="0.2">
      <c r="A14" s="211" t="s">
        <v>7</v>
      </c>
      <c r="B14" s="42">
        <f>25+9478+31</f>
        <v>9534</v>
      </c>
      <c r="C14" s="42">
        <v>1732</v>
      </c>
      <c r="D14" s="42">
        <v>878</v>
      </c>
      <c r="E14" s="42">
        <v>176</v>
      </c>
      <c r="F14" s="42">
        <f t="shared" si="10"/>
        <v>12320</v>
      </c>
      <c r="G14" s="42">
        <v>11140</v>
      </c>
      <c r="H14" s="42">
        <v>2110</v>
      </c>
      <c r="I14" s="42">
        <v>942</v>
      </c>
      <c r="J14" s="42">
        <v>164</v>
      </c>
      <c r="K14" s="42">
        <f t="shared" si="5"/>
        <v>14356</v>
      </c>
      <c r="L14" s="212">
        <f t="shared" si="6"/>
        <v>0.16525974025974022</v>
      </c>
      <c r="M14" s="42">
        <v>13045</v>
      </c>
      <c r="N14" s="42">
        <v>2981</v>
      </c>
      <c r="O14" s="42">
        <v>375</v>
      </c>
      <c r="P14" s="42">
        <v>205</v>
      </c>
      <c r="Q14" s="42">
        <f t="shared" si="1"/>
        <v>16606</v>
      </c>
      <c r="R14" s="212">
        <f t="shared" si="2"/>
        <v>0.15672889384229594</v>
      </c>
      <c r="S14" s="42">
        <v>10509</v>
      </c>
      <c r="T14" s="42">
        <v>1569</v>
      </c>
      <c r="U14" s="42">
        <v>274</v>
      </c>
      <c r="V14" s="42">
        <v>24</v>
      </c>
      <c r="W14" s="42">
        <v>12376</v>
      </c>
      <c r="X14" s="212">
        <v>-0.3597516813243663</v>
      </c>
      <c r="Y14" s="42">
        <v>9710</v>
      </c>
      <c r="Z14" s="42">
        <v>1446</v>
      </c>
      <c r="AA14" s="42">
        <v>303</v>
      </c>
      <c r="AB14" s="42">
        <v>25</v>
      </c>
      <c r="AC14" s="118">
        <f t="shared" si="3"/>
        <v>11484</v>
      </c>
      <c r="AD14" s="91">
        <f t="shared" si="4"/>
        <v>-7.2074983839689688E-2</v>
      </c>
    </row>
    <row r="15" spans="1:30" ht="18" customHeight="1" x14ac:dyDescent="0.2">
      <c r="A15" s="211" t="s">
        <v>27</v>
      </c>
      <c r="B15" s="42">
        <f>31+8436+40</f>
        <v>8507</v>
      </c>
      <c r="C15" s="42">
        <v>1741</v>
      </c>
      <c r="D15" s="42">
        <v>889</v>
      </c>
      <c r="E15" s="42">
        <v>186</v>
      </c>
      <c r="F15" s="42">
        <f t="shared" si="10"/>
        <v>11323</v>
      </c>
      <c r="G15" s="42">
        <v>10381</v>
      </c>
      <c r="H15" s="42">
        <v>2228</v>
      </c>
      <c r="I15" s="42">
        <v>985</v>
      </c>
      <c r="J15" s="42">
        <v>186</v>
      </c>
      <c r="K15" s="42">
        <f t="shared" si="5"/>
        <v>13780</v>
      </c>
      <c r="L15" s="212">
        <f t="shared" si="6"/>
        <v>0.21699196326061987</v>
      </c>
      <c r="M15" s="42">
        <v>12640</v>
      </c>
      <c r="N15" s="42">
        <v>3155</v>
      </c>
      <c r="O15" s="42">
        <v>389</v>
      </c>
      <c r="P15" s="42">
        <v>210</v>
      </c>
      <c r="Q15" s="42">
        <f t="shared" si="1"/>
        <v>16394</v>
      </c>
      <c r="R15" s="212">
        <f t="shared" si="2"/>
        <v>0.18969521044992743</v>
      </c>
      <c r="S15" s="42">
        <v>10338</v>
      </c>
      <c r="T15" s="42">
        <v>1636</v>
      </c>
      <c r="U15" s="42">
        <v>279</v>
      </c>
      <c r="V15" s="42">
        <v>27</v>
      </c>
      <c r="W15" s="42">
        <v>12280</v>
      </c>
      <c r="X15" s="212">
        <v>-0.37385274321843764</v>
      </c>
      <c r="Y15" s="42">
        <v>8308</v>
      </c>
      <c r="Z15" s="42">
        <v>1435</v>
      </c>
      <c r="AA15" s="42">
        <v>275</v>
      </c>
      <c r="AB15" s="42">
        <v>26</v>
      </c>
      <c r="AC15" s="118">
        <f t="shared" si="3"/>
        <v>10044</v>
      </c>
      <c r="AD15" s="91">
        <f t="shared" si="4"/>
        <v>-0.18208469055374588</v>
      </c>
    </row>
    <row r="16" spans="1:30" ht="18" customHeight="1" x14ac:dyDescent="0.2">
      <c r="A16" s="211" t="s">
        <v>28</v>
      </c>
      <c r="B16" s="42">
        <f>33+6863+39</f>
        <v>6935</v>
      </c>
      <c r="C16" s="42">
        <v>1819</v>
      </c>
      <c r="D16" s="42">
        <v>856</v>
      </c>
      <c r="E16" s="42">
        <v>192</v>
      </c>
      <c r="F16" s="42">
        <f t="shared" si="10"/>
        <v>9802</v>
      </c>
      <c r="G16" s="42">
        <v>8721</v>
      </c>
      <c r="H16" s="42">
        <v>2360</v>
      </c>
      <c r="I16" s="42">
        <v>993</v>
      </c>
      <c r="J16" s="42">
        <v>185</v>
      </c>
      <c r="K16" s="42">
        <f t="shared" si="5"/>
        <v>12259</v>
      </c>
      <c r="L16" s="212">
        <f t="shared" si="6"/>
        <v>0.25066312997347473</v>
      </c>
      <c r="M16" s="42">
        <v>10491</v>
      </c>
      <c r="N16" s="42">
        <v>3291</v>
      </c>
      <c r="O16" s="42">
        <v>392</v>
      </c>
      <c r="P16" s="42">
        <v>194</v>
      </c>
      <c r="Q16" s="42">
        <f t="shared" si="1"/>
        <v>14368</v>
      </c>
      <c r="R16" s="212">
        <f t="shared" si="2"/>
        <v>0.172036870870381</v>
      </c>
      <c r="S16" s="42">
        <v>8080</v>
      </c>
      <c r="T16" s="42">
        <v>1732</v>
      </c>
      <c r="U16" s="42">
        <v>288</v>
      </c>
      <c r="V16" s="42">
        <v>28</v>
      </c>
      <c r="W16" s="42">
        <v>10128</v>
      </c>
      <c r="X16" s="212">
        <v>-0.39447566662680855</v>
      </c>
      <c r="Y16" s="42">
        <v>6481</v>
      </c>
      <c r="Z16" s="42">
        <v>1496</v>
      </c>
      <c r="AA16" s="42">
        <v>292</v>
      </c>
      <c r="AB16" s="42">
        <v>23</v>
      </c>
      <c r="AC16" s="118">
        <f t="shared" si="3"/>
        <v>8292</v>
      </c>
      <c r="AD16" s="91">
        <f t="shared" si="4"/>
        <v>-0.18127962085308058</v>
      </c>
    </row>
    <row r="17" spans="1:30" ht="18" customHeight="1" x14ac:dyDescent="0.2">
      <c r="A17" s="211" t="s">
        <v>29</v>
      </c>
      <c r="B17" s="42">
        <f>42+9563+40</f>
        <v>9645</v>
      </c>
      <c r="C17" s="42">
        <v>2936</v>
      </c>
      <c r="D17" s="42">
        <v>1220</v>
      </c>
      <c r="E17" s="42">
        <v>195</v>
      </c>
      <c r="F17" s="42">
        <f t="shared" si="10"/>
        <v>13996</v>
      </c>
      <c r="G17" s="42">
        <v>11869</v>
      </c>
      <c r="H17" s="42">
        <v>4096</v>
      </c>
      <c r="I17" s="42">
        <v>1348</v>
      </c>
      <c r="J17" s="42">
        <v>210</v>
      </c>
      <c r="K17" s="42">
        <f t="shared" si="5"/>
        <v>17523</v>
      </c>
      <c r="L17" s="212">
        <f t="shared" si="6"/>
        <v>0.25200057159188338</v>
      </c>
      <c r="M17" s="42">
        <v>13799</v>
      </c>
      <c r="N17" s="42">
        <v>5261</v>
      </c>
      <c r="O17" s="42">
        <v>501</v>
      </c>
      <c r="P17" s="42">
        <v>200</v>
      </c>
      <c r="Q17" s="42">
        <f t="shared" si="1"/>
        <v>19761</v>
      </c>
      <c r="R17" s="212">
        <f t="shared" si="2"/>
        <v>0.12771785653141587</v>
      </c>
      <c r="S17" s="42">
        <v>12754</v>
      </c>
      <c r="T17" s="42">
        <v>4180</v>
      </c>
      <c r="U17" s="42">
        <v>567</v>
      </c>
      <c r="V17" s="42">
        <v>42</v>
      </c>
      <c r="W17" s="42">
        <v>17543</v>
      </c>
      <c r="X17" s="212">
        <v>-0.17405838041431265</v>
      </c>
      <c r="Y17" s="42">
        <v>11622</v>
      </c>
      <c r="Z17" s="42">
        <v>3980</v>
      </c>
      <c r="AA17" s="42">
        <v>649</v>
      </c>
      <c r="AB17" s="42">
        <v>27</v>
      </c>
      <c r="AC17" s="118">
        <f t="shared" si="3"/>
        <v>16278</v>
      </c>
      <c r="AD17" s="91">
        <f t="shared" si="4"/>
        <v>-7.2108533318132606E-2</v>
      </c>
    </row>
    <row r="18" spans="1:30" ht="18" customHeight="1" thickBot="1" x14ac:dyDescent="0.25">
      <c r="A18" s="217" t="s">
        <v>30</v>
      </c>
      <c r="B18" s="120">
        <f>51+12662+37</f>
        <v>12750</v>
      </c>
      <c r="C18" s="120">
        <v>3727</v>
      </c>
      <c r="D18" s="120">
        <v>1441</v>
      </c>
      <c r="E18" s="120">
        <v>197</v>
      </c>
      <c r="F18" s="120">
        <f t="shared" si="10"/>
        <v>18115</v>
      </c>
      <c r="G18" s="120">
        <v>15176</v>
      </c>
      <c r="H18" s="120">
        <v>5046</v>
      </c>
      <c r="I18" s="120">
        <v>1588</v>
      </c>
      <c r="J18" s="120">
        <v>241</v>
      </c>
      <c r="K18" s="120">
        <f t="shared" si="5"/>
        <v>22051</v>
      </c>
      <c r="L18" s="218">
        <f t="shared" si="6"/>
        <v>0.21727849848192116</v>
      </c>
      <c r="M18" s="120">
        <v>16963</v>
      </c>
      <c r="N18" s="120">
        <v>6374</v>
      </c>
      <c r="O18" s="120">
        <v>637</v>
      </c>
      <c r="P18" s="120">
        <v>221</v>
      </c>
      <c r="Q18" s="120">
        <f t="shared" si="1"/>
        <v>24195</v>
      </c>
      <c r="R18" s="218">
        <f t="shared" si="2"/>
        <v>9.7229150605414816E-2</v>
      </c>
      <c r="S18" s="120">
        <v>15325</v>
      </c>
      <c r="T18" s="120">
        <v>5239</v>
      </c>
      <c r="U18" s="120">
        <v>720</v>
      </c>
      <c r="V18" s="120">
        <v>51</v>
      </c>
      <c r="W18" s="120">
        <v>21335</v>
      </c>
      <c r="X18" s="218">
        <v>-0.14162140414403546</v>
      </c>
      <c r="Y18" s="120">
        <v>14540</v>
      </c>
      <c r="Z18" s="120">
        <v>5135</v>
      </c>
      <c r="AA18" s="120">
        <v>799</v>
      </c>
      <c r="AB18" s="120">
        <v>25</v>
      </c>
      <c r="AC18" s="120">
        <f t="shared" si="3"/>
        <v>20499</v>
      </c>
      <c r="AD18" s="92">
        <f t="shared" si="4"/>
        <v>-3.91844387157253E-2</v>
      </c>
    </row>
    <row r="19" spans="1:30" ht="39" customHeight="1" thickBot="1" x14ac:dyDescent="0.25">
      <c r="A19" s="221" t="s">
        <v>43</v>
      </c>
      <c r="B19" s="93">
        <f t="shared" ref="B19:K19" si="11">AVERAGE(B13:B18)</f>
        <v>9517.8333333333339</v>
      </c>
      <c r="C19" s="93">
        <f t="shared" si="11"/>
        <v>2306.6666666666665</v>
      </c>
      <c r="D19" s="93">
        <f t="shared" si="11"/>
        <v>1036.3333333333333</v>
      </c>
      <c r="E19" s="93">
        <f t="shared" si="11"/>
        <v>190</v>
      </c>
      <c r="F19" s="93">
        <f t="shared" si="11"/>
        <v>13050.833333333334</v>
      </c>
      <c r="G19" s="93">
        <f t="shared" si="11"/>
        <v>11417.666666666666</v>
      </c>
      <c r="H19" s="93">
        <f t="shared" si="11"/>
        <v>3026</v>
      </c>
      <c r="I19" s="93">
        <f t="shared" si="11"/>
        <v>1145.6666666666667</v>
      </c>
      <c r="J19" s="93">
        <f t="shared" si="11"/>
        <v>198.66666666666666</v>
      </c>
      <c r="K19" s="93">
        <f t="shared" si="11"/>
        <v>15788</v>
      </c>
      <c r="L19" s="223">
        <f t="shared" si="6"/>
        <v>0.2097311793627481</v>
      </c>
      <c r="M19" s="93">
        <f>AVERAGE(M13:M18)</f>
        <v>13422</v>
      </c>
      <c r="N19" s="93">
        <f>AVERAGE(N13:N18)</f>
        <v>4064.1666666666665</v>
      </c>
      <c r="O19" s="93">
        <f>AVERAGE(O13:O18)</f>
        <v>453</v>
      </c>
      <c r="P19" s="93">
        <f>AVERAGE(P13:P18)</f>
        <v>208</v>
      </c>
      <c r="Q19" s="93">
        <f>AVERAGE(Q13:Q18)</f>
        <v>18147.166666666668</v>
      </c>
      <c r="R19" s="223">
        <f t="shared" si="2"/>
        <v>0.14942783548686767</v>
      </c>
      <c r="S19" s="93">
        <f>AVERAGE(S13:S18)</f>
        <v>11308</v>
      </c>
      <c r="T19" s="93">
        <f t="shared" ref="T19:W19" si="12">AVERAGE(T13:T18)</f>
        <v>2691.1666666666665</v>
      </c>
      <c r="U19" s="93">
        <f t="shared" si="12"/>
        <v>404.5</v>
      </c>
      <c r="V19" s="93">
        <f t="shared" si="12"/>
        <v>33.666666666666664</v>
      </c>
      <c r="W19" s="93">
        <f t="shared" si="12"/>
        <v>14437.333333333334</v>
      </c>
      <c r="X19" s="224">
        <v>-0.28873707806123705</v>
      </c>
      <c r="Y19" s="93">
        <f>AVERAGE(Y13:Y18)</f>
        <v>10104.166666666666</v>
      </c>
      <c r="Z19" s="93">
        <f t="shared" ref="Z19:AC19" si="13">AVERAGE(Z13:Z18)</f>
        <v>2513.3333333333335</v>
      </c>
      <c r="AA19" s="93">
        <f t="shared" si="13"/>
        <v>441.5</v>
      </c>
      <c r="AB19" s="93">
        <f t="shared" si="13"/>
        <v>26.166666666666668</v>
      </c>
      <c r="AC19" s="93">
        <f t="shared" si="13"/>
        <v>13085.166666666666</v>
      </c>
      <c r="AD19" s="225">
        <f>(AC19/W19)-1</f>
        <v>-9.3657646841522113E-2</v>
      </c>
    </row>
    <row r="20" spans="1:30" ht="37.5" customHeight="1" thickBot="1" x14ac:dyDescent="0.25">
      <c r="A20" s="221" t="s">
        <v>44</v>
      </c>
      <c r="B20" s="230">
        <f t="shared" ref="B20:K20" si="14">AVERAGE(B6:B11,B13:B18)</f>
        <v>10275.333333333334</v>
      </c>
      <c r="C20" s="230">
        <f t="shared" si="14"/>
        <v>2543.4166666666665</v>
      </c>
      <c r="D20" s="230">
        <f t="shared" si="14"/>
        <v>1135.3333333333333</v>
      </c>
      <c r="E20" s="230">
        <f t="shared" si="14"/>
        <v>214.66666666666666</v>
      </c>
      <c r="F20" s="230">
        <f t="shared" si="14"/>
        <v>14168.75</v>
      </c>
      <c r="G20" s="93">
        <f t="shared" si="14"/>
        <v>11431.666666666666</v>
      </c>
      <c r="H20" s="93">
        <f t="shared" si="14"/>
        <v>3280.25</v>
      </c>
      <c r="I20" s="93">
        <f t="shared" si="14"/>
        <v>1188.5</v>
      </c>
      <c r="J20" s="93">
        <f t="shared" si="14"/>
        <v>202.08333333333334</v>
      </c>
      <c r="K20" s="93">
        <f t="shared" si="14"/>
        <v>16102.5</v>
      </c>
      <c r="L20" s="223">
        <f t="shared" si="6"/>
        <v>0.13647992942214371</v>
      </c>
      <c r="M20" s="93">
        <f>AVERAGE(M6:M11,M13:M18)</f>
        <v>14041.833333333334</v>
      </c>
      <c r="N20" s="93">
        <f>AVERAGE(N6:N11,N13:N18)</f>
        <v>4617.583333333333</v>
      </c>
      <c r="O20" s="93">
        <f>AVERAGE(O6:O11,O13:O18)</f>
        <v>511.91666666666669</v>
      </c>
      <c r="P20" s="93">
        <f>AVERAGE(P6:P11,P13:P18)</f>
        <v>222.08333333333334</v>
      </c>
      <c r="Q20" s="93">
        <f>AVERAGE(Q6:Q11,Q13:Q18)</f>
        <v>19393.416666666668</v>
      </c>
      <c r="R20" s="223">
        <f t="shared" si="2"/>
        <v>0.20437302696268711</v>
      </c>
      <c r="S20" s="93">
        <f>AVERAGE(S6:S11,S13:S18)</f>
        <v>12606.166666666666</v>
      </c>
      <c r="T20" s="93">
        <f t="shared" ref="T20:W20" si="15">AVERAGE(T6:T11,T13:T18)</f>
        <v>3428.3333333333335</v>
      </c>
      <c r="U20" s="93">
        <f t="shared" si="15"/>
        <v>484.75</v>
      </c>
      <c r="V20" s="93">
        <f t="shared" si="15"/>
        <v>44.25</v>
      </c>
      <c r="W20" s="93">
        <f t="shared" si="15"/>
        <v>16563.5</v>
      </c>
      <c r="X20" s="224">
        <v>-0.23530135963866083</v>
      </c>
      <c r="Y20" s="93">
        <f>AVERAGE(Y6:Y11,Y13:Y18)</f>
        <v>11155.916666666666</v>
      </c>
      <c r="Z20" s="93">
        <f t="shared" ref="Z20:AC20" si="16">AVERAGE(Z6:Z11,Z13:Z18)</f>
        <v>3240.8333333333335</v>
      </c>
      <c r="AA20" s="93">
        <f t="shared" si="16"/>
        <v>522.66666666666663</v>
      </c>
      <c r="AB20" s="93">
        <f t="shared" si="16"/>
        <v>37.083333333333336</v>
      </c>
      <c r="AC20" s="93">
        <f t="shared" si="16"/>
        <v>14956.5</v>
      </c>
      <c r="AD20" s="225">
        <f>AC20/W20-1</f>
        <v>-9.702055724937364E-2</v>
      </c>
    </row>
    <row r="21" spans="1:30" x14ac:dyDescent="0.2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8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9"/>
    </row>
    <row r="22" spans="1:30" x14ac:dyDescent="0.2">
      <c r="A22" s="213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6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5"/>
    </row>
    <row r="23" spans="1:30" ht="26.25" customHeight="1" thickBot="1" x14ac:dyDescent="0.25">
      <c r="A23" s="380" t="s">
        <v>41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2"/>
    </row>
    <row r="26" spans="1:30" x14ac:dyDescent="0.2">
      <c r="A26" s="35"/>
    </row>
    <row r="27" spans="1:30" x14ac:dyDescent="0.2">
      <c r="A27" s="44" t="s">
        <v>146</v>
      </c>
      <c r="H27" s="31"/>
      <c r="I27" s="36"/>
      <c r="J27" s="36"/>
      <c r="K27" s="36"/>
      <c r="O27" s="31"/>
      <c r="P27" s="36"/>
      <c r="Q27" s="36"/>
      <c r="R27" s="36"/>
      <c r="S27" s="36"/>
      <c r="T27" s="36"/>
      <c r="U27" s="36"/>
      <c r="V27" s="36"/>
      <c r="W27" s="36"/>
      <c r="X27" s="36"/>
      <c r="AA27" s="31"/>
      <c r="AB27" s="373" t="s">
        <v>12</v>
      </c>
      <c r="AC27" s="373"/>
      <c r="AD27" s="36"/>
    </row>
    <row r="28" spans="1:30" x14ac:dyDescent="0.2">
      <c r="A28" s="32">
        <f>'άνεργοι κατά μήνα 2007-2015'!A25</f>
        <v>42419</v>
      </c>
      <c r="H28" s="36"/>
      <c r="I28" s="36"/>
      <c r="J28" s="36"/>
      <c r="K28" s="36"/>
      <c r="O28" s="373"/>
      <c r="P28" s="373"/>
      <c r="Q28" s="373"/>
      <c r="R28" s="373"/>
      <c r="S28" s="171"/>
      <c r="T28" s="171"/>
      <c r="U28" s="171"/>
      <c r="V28" s="171"/>
      <c r="W28" s="171"/>
      <c r="X28" s="171"/>
      <c r="AA28" s="373" t="s">
        <v>11</v>
      </c>
      <c r="AB28" s="373"/>
      <c r="AC28" s="373"/>
      <c r="AD28" s="373"/>
    </row>
    <row r="30" spans="1:30" x14ac:dyDescent="0.2">
      <c r="S30" s="340"/>
      <c r="T30" s="340"/>
    </row>
    <row r="31" spans="1:30" x14ac:dyDescent="0.2">
      <c r="S31" s="340"/>
    </row>
  </sheetData>
  <mergeCells count="16">
    <mergeCell ref="A2:AD2"/>
    <mergeCell ref="A3:B3"/>
    <mergeCell ref="L4:L5"/>
    <mergeCell ref="B4:F4"/>
    <mergeCell ref="G4:K4"/>
    <mergeCell ref="S4:W4"/>
    <mergeCell ref="O28:R28"/>
    <mergeCell ref="M4:Q4"/>
    <mergeCell ref="R4:R5"/>
    <mergeCell ref="AB27:AC27"/>
    <mergeCell ref="AA28:AD28"/>
    <mergeCell ref="A23:AD23"/>
    <mergeCell ref="Y4:AC4"/>
    <mergeCell ref="AD4:AD5"/>
    <mergeCell ref="X4:X5"/>
    <mergeCell ref="A4:A5"/>
  </mergeCells>
  <pageMargins left="0" right="0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U19" zoomScaleNormal="100" workbookViewId="0">
      <selection activeCell="AC23" sqref="AC23"/>
    </sheetView>
  </sheetViews>
  <sheetFormatPr defaultColWidth="17.7109375" defaultRowHeight="12.75" x14ac:dyDescent="0.2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" hidden="1" customWidth="1"/>
    <col min="8" max="8" width="8.5703125" hidden="1" customWidth="1"/>
    <col min="9" max="9" width="14.5703125" hidden="1" customWidth="1"/>
    <col min="10" max="10" width="8.42578125" hidden="1" customWidth="1"/>
    <col min="11" max="11" width="14.85546875" hidden="1" customWidth="1"/>
    <col min="12" max="12" width="9.5703125" hidden="1" customWidth="1"/>
    <col min="13" max="13" width="8.28515625" hidden="1" customWidth="1"/>
    <col min="14" max="14" width="14.7109375" hidden="1" customWidth="1"/>
    <col min="15" max="15" width="9" hidden="1" customWidth="1"/>
    <col min="16" max="16" width="8.7109375" customWidth="1"/>
    <col min="17" max="17" width="14.7109375" customWidth="1"/>
    <col min="18" max="18" width="8.28515625" hidden="1" customWidth="1"/>
    <col min="19" max="19" width="8.85546875" customWidth="1"/>
    <col min="20" max="20" width="15.5703125" customWidth="1"/>
    <col min="21" max="21" width="8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customWidth="1"/>
    <col min="29" max="29" width="15.7109375" customWidth="1"/>
    <col min="30" max="30" width="8.42578125" customWidth="1"/>
  </cols>
  <sheetData>
    <row r="1" spans="1:30" x14ac:dyDescent="0.2">
      <c r="A1" s="126" t="s">
        <v>103</v>
      </c>
    </row>
    <row r="2" spans="1:30" ht="24" customHeight="1" x14ac:dyDescent="0.2">
      <c r="A2" s="399" t="s">
        <v>127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</row>
    <row r="3" spans="1:30" ht="13.5" customHeight="1" thickBot="1" x14ac:dyDescent="0.25"/>
    <row r="4" spans="1:30" ht="12.75" customHeight="1" x14ac:dyDescent="0.2">
      <c r="A4" s="231"/>
      <c r="B4" s="394">
        <v>2005</v>
      </c>
      <c r="C4" s="394"/>
      <c r="D4" s="394">
        <v>2006</v>
      </c>
      <c r="E4" s="394"/>
      <c r="F4" s="394">
        <v>2007</v>
      </c>
      <c r="G4" s="394"/>
      <c r="H4" s="394">
        <v>2008</v>
      </c>
      <c r="I4" s="394"/>
      <c r="J4" s="394">
        <v>2009</v>
      </c>
      <c r="K4" s="394"/>
      <c r="L4" s="392" t="s">
        <v>33</v>
      </c>
      <c r="M4" s="394">
        <v>2010</v>
      </c>
      <c r="N4" s="394"/>
      <c r="O4" s="392" t="s">
        <v>34</v>
      </c>
      <c r="P4" s="394">
        <v>2011</v>
      </c>
      <c r="Q4" s="394"/>
      <c r="R4" s="392" t="s">
        <v>35</v>
      </c>
      <c r="S4" s="394">
        <v>2012</v>
      </c>
      <c r="T4" s="394"/>
      <c r="U4" s="392" t="s">
        <v>61</v>
      </c>
      <c r="V4" s="394">
        <v>2013</v>
      </c>
      <c r="W4" s="394"/>
      <c r="X4" s="392" t="s">
        <v>95</v>
      </c>
      <c r="Y4" s="394">
        <v>2014</v>
      </c>
      <c r="Z4" s="394"/>
      <c r="AA4" s="392" t="s">
        <v>118</v>
      </c>
      <c r="AB4" s="394">
        <v>2015</v>
      </c>
      <c r="AC4" s="394"/>
      <c r="AD4" s="395" t="s">
        <v>126</v>
      </c>
    </row>
    <row r="5" spans="1:30" ht="12.75" customHeight="1" x14ac:dyDescent="0.2">
      <c r="A5" s="232" t="s">
        <v>14</v>
      </c>
      <c r="B5" s="233" t="s">
        <v>15</v>
      </c>
      <c r="C5" s="233" t="s">
        <v>16</v>
      </c>
      <c r="D5" s="233" t="s">
        <v>15</v>
      </c>
      <c r="E5" s="233" t="s">
        <v>16</v>
      </c>
      <c r="F5" s="233" t="s">
        <v>15</v>
      </c>
      <c r="G5" s="233" t="s">
        <v>16</v>
      </c>
      <c r="H5" s="233" t="s">
        <v>15</v>
      </c>
      <c r="I5" s="389" t="s">
        <v>59</v>
      </c>
      <c r="J5" s="233" t="s">
        <v>15</v>
      </c>
      <c r="K5" s="389" t="s">
        <v>59</v>
      </c>
      <c r="L5" s="393"/>
      <c r="M5" s="233" t="s">
        <v>15</v>
      </c>
      <c r="N5" s="389" t="s">
        <v>59</v>
      </c>
      <c r="O5" s="393"/>
      <c r="P5" s="233" t="s">
        <v>15</v>
      </c>
      <c r="Q5" s="389" t="s">
        <v>59</v>
      </c>
      <c r="R5" s="393"/>
      <c r="S5" s="233" t="s">
        <v>15</v>
      </c>
      <c r="T5" s="389" t="s">
        <v>59</v>
      </c>
      <c r="U5" s="393"/>
      <c r="V5" s="233" t="s">
        <v>15</v>
      </c>
      <c r="W5" s="389" t="s">
        <v>59</v>
      </c>
      <c r="X5" s="393"/>
      <c r="Y5" s="233" t="s">
        <v>15</v>
      </c>
      <c r="Z5" s="389" t="s">
        <v>59</v>
      </c>
      <c r="AA5" s="393"/>
      <c r="AB5" s="233" t="s">
        <v>15</v>
      </c>
      <c r="AC5" s="389" t="s">
        <v>59</v>
      </c>
      <c r="AD5" s="396"/>
    </row>
    <row r="6" spans="1:30" x14ac:dyDescent="0.2">
      <c r="A6" s="234"/>
      <c r="B6" s="235" t="s">
        <v>17</v>
      </c>
      <c r="C6" s="233" t="s">
        <v>31</v>
      </c>
      <c r="D6" s="233" t="s">
        <v>17</v>
      </c>
      <c r="E6" s="233" t="s">
        <v>18</v>
      </c>
      <c r="F6" s="235" t="s">
        <v>17</v>
      </c>
      <c r="G6" s="233" t="s">
        <v>18</v>
      </c>
      <c r="H6" s="233" t="s">
        <v>51</v>
      </c>
      <c r="I6" s="389"/>
      <c r="J6" s="233" t="s">
        <v>51</v>
      </c>
      <c r="K6" s="389"/>
      <c r="L6" s="393"/>
      <c r="M6" s="233" t="s">
        <v>51</v>
      </c>
      <c r="N6" s="389"/>
      <c r="O6" s="393"/>
      <c r="P6" s="233" t="s">
        <v>51</v>
      </c>
      <c r="Q6" s="389"/>
      <c r="R6" s="393"/>
      <c r="S6" s="233" t="s">
        <v>51</v>
      </c>
      <c r="T6" s="389"/>
      <c r="U6" s="393"/>
      <c r="V6" s="233" t="s">
        <v>51</v>
      </c>
      <c r="W6" s="389"/>
      <c r="X6" s="393"/>
      <c r="Y6" s="233" t="s">
        <v>51</v>
      </c>
      <c r="Z6" s="389"/>
      <c r="AA6" s="393"/>
      <c r="AB6" s="233" t="s">
        <v>51</v>
      </c>
      <c r="AC6" s="389"/>
      <c r="AD6" s="396"/>
    </row>
    <row r="7" spans="1:30" ht="19.5" customHeight="1" x14ac:dyDescent="0.2">
      <c r="A7" s="234"/>
      <c r="B7" s="235"/>
      <c r="C7" s="233" t="s">
        <v>13</v>
      </c>
      <c r="D7" s="235"/>
      <c r="E7" s="233" t="s">
        <v>13</v>
      </c>
      <c r="F7" s="235"/>
      <c r="G7" s="233" t="s">
        <v>13</v>
      </c>
      <c r="H7" s="235"/>
      <c r="I7" s="236"/>
      <c r="J7" s="235"/>
      <c r="K7" s="236"/>
      <c r="L7" s="393"/>
      <c r="M7" s="235"/>
      <c r="N7" s="236"/>
      <c r="O7" s="393"/>
      <c r="P7" s="235"/>
      <c r="Q7" s="236"/>
      <c r="R7" s="393"/>
      <c r="S7" s="235"/>
      <c r="T7" s="236"/>
      <c r="U7" s="393"/>
      <c r="V7" s="235"/>
      <c r="W7" s="236"/>
      <c r="X7" s="393"/>
      <c r="Y7" s="235"/>
      <c r="Z7" s="236"/>
      <c r="AA7" s="393"/>
      <c r="AB7" s="235"/>
      <c r="AC7" s="236"/>
      <c r="AD7" s="396"/>
    </row>
    <row r="8" spans="1:30" ht="15" customHeight="1" x14ac:dyDescent="0.2">
      <c r="A8" s="237" t="s">
        <v>20</v>
      </c>
      <c r="B8" s="27">
        <v>14673</v>
      </c>
      <c r="C8" s="238">
        <v>2940510</v>
      </c>
      <c r="D8" s="27">
        <v>14562</v>
      </c>
      <c r="E8" s="59">
        <v>3818295</v>
      </c>
      <c r="F8" s="27">
        <v>14489</v>
      </c>
      <c r="G8" s="238">
        <v>3005355</v>
      </c>
      <c r="H8" s="27">
        <v>12860</v>
      </c>
      <c r="I8" s="59">
        <v>6429356</v>
      </c>
      <c r="J8" s="27">
        <v>14841</v>
      </c>
      <c r="K8" s="60">
        <v>5725662</v>
      </c>
      <c r="L8" s="216">
        <f t="shared" ref="L8:L22" si="0">J8/H8-1</f>
        <v>0.15404354587869373</v>
      </c>
      <c r="M8" s="27">
        <v>20020</v>
      </c>
      <c r="N8" s="65">
        <v>6402802</v>
      </c>
      <c r="O8" s="186">
        <f t="shared" ref="O8:O22" si="1">M8/J8-1</f>
        <v>0.34896570311973596</v>
      </c>
      <c r="P8" s="27">
        <v>20351</v>
      </c>
      <c r="Q8" s="65">
        <v>7694758</v>
      </c>
      <c r="R8" s="186">
        <f t="shared" ref="R8:R22" si="2">P8/M8-1</f>
        <v>1.6533466533466434E-2</v>
      </c>
      <c r="S8" s="27">
        <v>24571</v>
      </c>
      <c r="T8" s="65">
        <v>7876600</v>
      </c>
      <c r="U8" s="186">
        <f t="shared" ref="U8:U22" si="3">S8/P8-1</f>
        <v>0.20736081765023839</v>
      </c>
      <c r="V8" s="187">
        <v>26620</v>
      </c>
      <c r="W8" s="65">
        <v>12806842</v>
      </c>
      <c r="X8" s="186">
        <v>8.3390989377721603E-2</v>
      </c>
      <c r="Y8" s="27">
        <f>'δικ κατά μήν και κοιν 2014-2015'!W6</f>
        <v>25851</v>
      </c>
      <c r="Z8" s="65">
        <v>12217167.890000001</v>
      </c>
      <c r="AA8" s="186">
        <f>Y8/V8-1</f>
        <v>-2.8888054094665661E-2</v>
      </c>
      <c r="AB8" s="27">
        <f>'δικ κατά μήν και κοιν 2014-2015'!AC6</f>
        <v>22847</v>
      </c>
      <c r="AC8" s="65">
        <v>8009723.1799999997</v>
      </c>
      <c r="AD8" s="105">
        <f>'δικ κατά μήν και κοιν 2014-2015'!AD6</f>
        <v>-0.1162044021507872</v>
      </c>
    </row>
    <row r="9" spans="1:30" ht="15" customHeight="1" x14ac:dyDescent="0.2">
      <c r="A9" s="237" t="s">
        <v>21</v>
      </c>
      <c r="B9" s="27">
        <v>14411</v>
      </c>
      <c r="C9" s="238">
        <v>3852153</v>
      </c>
      <c r="D9" s="27">
        <v>14322</v>
      </c>
      <c r="E9" s="59">
        <v>3421812</v>
      </c>
      <c r="F9" s="27">
        <v>13985</v>
      </c>
      <c r="G9" s="238">
        <v>4133238</v>
      </c>
      <c r="H9" s="27">
        <v>12872</v>
      </c>
      <c r="I9" s="59">
        <v>7705397</v>
      </c>
      <c r="J9" s="27">
        <v>15214</v>
      </c>
      <c r="K9" s="60">
        <v>7721727</v>
      </c>
      <c r="L9" s="216">
        <f t="shared" si="0"/>
        <v>0.18194530764449968</v>
      </c>
      <c r="M9" s="27">
        <v>18653</v>
      </c>
      <c r="N9" s="65">
        <v>9341322</v>
      </c>
      <c r="O9" s="186">
        <f t="shared" si="1"/>
        <v>0.22604180360194559</v>
      </c>
      <c r="P9" s="27">
        <v>19835</v>
      </c>
      <c r="Q9" s="65">
        <v>9733588</v>
      </c>
      <c r="R9" s="186">
        <f t="shared" si="2"/>
        <v>6.3367822870315837E-2</v>
      </c>
      <c r="S9" s="27">
        <v>23999</v>
      </c>
      <c r="T9" s="65">
        <v>13293238</v>
      </c>
      <c r="U9" s="186">
        <f t="shared" si="3"/>
        <v>0.20993193849256375</v>
      </c>
      <c r="V9" s="187">
        <v>26029</v>
      </c>
      <c r="W9" s="65">
        <v>13168840</v>
      </c>
      <c r="X9" s="186">
        <v>8.4586857785741154E-2</v>
      </c>
      <c r="Y9" s="27">
        <f>'δικ κατά μήν και κοιν 2014-2015'!W7</f>
        <v>24531</v>
      </c>
      <c r="Z9" s="65">
        <v>15484118.310000001</v>
      </c>
      <c r="AA9" s="186">
        <f t="shared" ref="AA9:AA20" si="4">Y9/V9-1</f>
        <v>-5.75511929002267E-2</v>
      </c>
      <c r="AB9" s="27">
        <f>'δικ κατά μήν και κοιν 2014-2015'!AC7</f>
        <v>22110</v>
      </c>
      <c r="AC9" s="65">
        <v>12834958.65</v>
      </c>
      <c r="AD9" s="105">
        <f>'δικ κατά μήν και κοιν 2014-2015'!AD7</f>
        <v>-9.8691451632628158E-2</v>
      </c>
    </row>
    <row r="10" spans="1:30" ht="15" customHeight="1" x14ac:dyDescent="0.2">
      <c r="A10" s="237" t="s">
        <v>22</v>
      </c>
      <c r="B10" s="27">
        <v>13289</v>
      </c>
      <c r="C10" s="238">
        <v>4243776</v>
      </c>
      <c r="D10" s="27">
        <v>13512</v>
      </c>
      <c r="E10" s="59">
        <v>4348349</v>
      </c>
      <c r="F10" s="27">
        <v>12972</v>
      </c>
      <c r="G10" s="238">
        <v>4375808</v>
      </c>
      <c r="H10" s="27">
        <v>12054</v>
      </c>
      <c r="I10" s="60">
        <v>6561430</v>
      </c>
      <c r="J10" s="27">
        <v>15070</v>
      </c>
      <c r="K10" s="60">
        <v>6994997</v>
      </c>
      <c r="L10" s="216">
        <f t="shared" si="0"/>
        <v>0.25020740003318398</v>
      </c>
      <c r="M10" s="27">
        <v>18118</v>
      </c>
      <c r="N10" s="65">
        <v>12306668</v>
      </c>
      <c r="O10" s="186">
        <f t="shared" si="1"/>
        <v>0.20225613802256137</v>
      </c>
      <c r="P10" s="27">
        <v>18795</v>
      </c>
      <c r="Q10" s="65">
        <v>16379537</v>
      </c>
      <c r="R10" s="186">
        <f t="shared" si="2"/>
        <v>3.7366155204768825E-2</v>
      </c>
      <c r="S10" s="27">
        <v>23365</v>
      </c>
      <c r="T10" s="65">
        <v>13221451</v>
      </c>
      <c r="U10" s="186">
        <f t="shared" si="3"/>
        <v>0.24314977387603087</v>
      </c>
      <c r="V10" s="187">
        <v>25463</v>
      </c>
      <c r="W10" s="65">
        <v>8845520</v>
      </c>
      <c r="X10" s="186">
        <v>8.9792424566659479E-2</v>
      </c>
      <c r="Y10" s="27">
        <f>'δικ κατά μήν και κοιν 2014-2015'!W8</f>
        <v>22756</v>
      </c>
      <c r="Z10" s="65">
        <v>21530313.949999999</v>
      </c>
      <c r="AA10" s="186">
        <f t="shared" si="4"/>
        <v>-0.10631111809291915</v>
      </c>
      <c r="AB10" s="27">
        <f>'δικ κατά μήν και κοιν 2014-2015'!AC8</f>
        <v>21492</v>
      </c>
      <c r="AC10" s="294">
        <v>16495174.210000001</v>
      </c>
      <c r="AD10" s="105">
        <f>'δικ κατά μήν και κοιν 2014-2015'!AD8</f>
        <v>-5.5545790121286687E-2</v>
      </c>
    </row>
    <row r="11" spans="1:30" ht="15" customHeight="1" x14ac:dyDescent="0.2">
      <c r="A11" s="237" t="s">
        <v>23</v>
      </c>
      <c r="B11" s="27">
        <v>8005</v>
      </c>
      <c r="C11" s="238">
        <v>3585663</v>
      </c>
      <c r="D11" s="27">
        <v>8879</v>
      </c>
      <c r="E11" s="59">
        <v>4502221</v>
      </c>
      <c r="F11" s="27">
        <v>8319</v>
      </c>
      <c r="G11" s="238">
        <v>3911497</v>
      </c>
      <c r="H11" s="27">
        <v>7536</v>
      </c>
      <c r="I11" s="59">
        <v>6895257</v>
      </c>
      <c r="J11" s="27">
        <v>11372</v>
      </c>
      <c r="K11" s="59">
        <v>6955494</v>
      </c>
      <c r="L11" s="216">
        <f t="shared" si="0"/>
        <v>0.50902335456475578</v>
      </c>
      <c r="M11" s="27">
        <v>13085</v>
      </c>
      <c r="N11" s="64">
        <v>8344709</v>
      </c>
      <c r="O11" s="186">
        <f t="shared" si="1"/>
        <v>0.1506331340133662</v>
      </c>
      <c r="P11" s="27">
        <v>14693</v>
      </c>
      <c r="Q11" s="64">
        <v>8299999</v>
      </c>
      <c r="R11" s="186">
        <f t="shared" si="2"/>
        <v>0.12288880397401614</v>
      </c>
      <c r="S11" s="27">
        <v>20574</v>
      </c>
      <c r="T11" s="64">
        <v>16676663</v>
      </c>
      <c r="U11" s="186">
        <f t="shared" si="3"/>
        <v>0.40025862655686373</v>
      </c>
      <c r="V11" s="187">
        <v>22232</v>
      </c>
      <c r="W11" s="64">
        <v>28124828</v>
      </c>
      <c r="X11" s="186">
        <v>8.0587148828618727E-2</v>
      </c>
      <c r="Y11" s="27">
        <f>'δικ κατά μήν και κοιν 2014-2015'!W9</f>
        <v>16029</v>
      </c>
      <c r="Z11" s="64">
        <v>8958941.1099999994</v>
      </c>
      <c r="AA11" s="186">
        <f t="shared" si="4"/>
        <v>-0.27901223461676861</v>
      </c>
      <c r="AB11" s="27">
        <f>'δικ κατά μήν και κοιν 2014-2015'!AC9</f>
        <v>14641</v>
      </c>
      <c r="AC11" s="64">
        <v>9258461.4900000002</v>
      </c>
      <c r="AD11" s="105">
        <f>'δικ κατά μήν και κοιν 2014-2015'!AD9</f>
        <v>-8.6593050096699709E-2</v>
      </c>
    </row>
    <row r="12" spans="1:30" ht="15" customHeight="1" x14ac:dyDescent="0.2">
      <c r="A12" s="237" t="s">
        <v>24</v>
      </c>
      <c r="B12" s="27">
        <v>7266</v>
      </c>
      <c r="C12" s="238">
        <v>2647918</v>
      </c>
      <c r="D12" s="27">
        <v>7355</v>
      </c>
      <c r="E12" s="59">
        <v>2639504.41</v>
      </c>
      <c r="F12" s="27">
        <v>6149</v>
      </c>
      <c r="G12" s="238">
        <v>3349936</v>
      </c>
      <c r="H12" s="27">
        <v>5808</v>
      </c>
      <c r="I12" s="59">
        <v>4136432</v>
      </c>
      <c r="J12" s="27">
        <v>9699</v>
      </c>
      <c r="K12" s="59">
        <v>9179790</v>
      </c>
      <c r="L12" s="216">
        <f t="shared" si="0"/>
        <v>0.66993801652892571</v>
      </c>
      <c r="M12" s="27">
        <v>10740</v>
      </c>
      <c r="N12" s="64">
        <v>10398300</v>
      </c>
      <c r="O12" s="186">
        <f t="shared" si="1"/>
        <v>0.10733065264460251</v>
      </c>
      <c r="P12" s="27">
        <v>12109</v>
      </c>
      <c r="Q12" s="64">
        <v>8780870</v>
      </c>
      <c r="R12" s="186">
        <f t="shared" si="2"/>
        <v>0.1274674115456238</v>
      </c>
      <c r="S12" s="27">
        <v>15841</v>
      </c>
      <c r="T12" s="64">
        <v>14404648</v>
      </c>
      <c r="U12" s="186">
        <f t="shared" si="3"/>
        <v>0.30820051201585597</v>
      </c>
      <c r="V12" s="187">
        <v>18833</v>
      </c>
      <c r="W12" s="64">
        <v>12962000</v>
      </c>
      <c r="X12" s="186">
        <v>0.18887696483807837</v>
      </c>
      <c r="Y12" s="27">
        <f>'δικ κατά μήν και κοιν 2014-2015'!W10</f>
        <v>11451</v>
      </c>
      <c r="Z12" s="64">
        <v>15803638.560000001</v>
      </c>
      <c r="AA12" s="186">
        <f t="shared" si="4"/>
        <v>-0.39197153931927997</v>
      </c>
      <c r="AB12" s="27">
        <f>'δικ κατά μήν και κοιν 2014-2015'!AC10</f>
        <v>9919</v>
      </c>
      <c r="AC12" s="240">
        <v>12898529.34</v>
      </c>
      <c r="AD12" s="105">
        <f>'δικ κατά μήν και κοιν 2014-2015'!AD10</f>
        <v>-0.13378744214479088</v>
      </c>
    </row>
    <row r="13" spans="1:30" ht="15" customHeight="1" thickBot="1" x14ac:dyDescent="0.25">
      <c r="A13" s="241" t="s">
        <v>25</v>
      </c>
      <c r="B13" s="20">
        <v>7282</v>
      </c>
      <c r="C13" s="242">
        <v>2036403</v>
      </c>
      <c r="D13" s="20">
        <v>7260</v>
      </c>
      <c r="E13" s="73">
        <v>1734611.23</v>
      </c>
      <c r="F13" s="20">
        <v>6516</v>
      </c>
      <c r="G13" s="242">
        <v>2056713</v>
      </c>
      <c r="H13" s="20">
        <v>5954</v>
      </c>
      <c r="I13" s="73">
        <v>2584829.96</v>
      </c>
      <c r="J13" s="20">
        <v>10145</v>
      </c>
      <c r="K13" s="73">
        <v>4954591</v>
      </c>
      <c r="L13" s="243">
        <f t="shared" si="0"/>
        <v>0.70389654014108172</v>
      </c>
      <c r="M13" s="20">
        <v>11103</v>
      </c>
      <c r="N13" s="69">
        <v>6021837</v>
      </c>
      <c r="O13" s="188">
        <f t="shared" si="1"/>
        <v>9.4430754066042288E-2</v>
      </c>
      <c r="P13" s="20">
        <v>12719</v>
      </c>
      <c r="Q13" s="69">
        <v>6967932</v>
      </c>
      <c r="R13" s="188">
        <f t="shared" si="2"/>
        <v>0.14554624876159594</v>
      </c>
      <c r="S13" s="20">
        <v>15488</v>
      </c>
      <c r="T13" s="69">
        <v>9288140</v>
      </c>
      <c r="U13" s="188">
        <f t="shared" si="3"/>
        <v>0.21770579448069816</v>
      </c>
      <c r="V13" s="192">
        <v>18956</v>
      </c>
      <c r="W13" s="69">
        <v>10602509</v>
      </c>
      <c r="X13" s="188">
        <v>0.22391528925619841</v>
      </c>
      <c r="Y13" s="20">
        <f>'δικ κατά μήν και κοιν 2014-2015'!W11</f>
        <v>11520</v>
      </c>
      <c r="Z13" s="69">
        <v>6037919.7999999998</v>
      </c>
      <c r="AA13" s="188">
        <f t="shared" si="4"/>
        <v>-0.39227685165646764</v>
      </c>
      <c r="AB13" s="20">
        <f>'δικ κατά μήν και κοιν 2014-2015'!AC11</f>
        <v>9958</v>
      </c>
      <c r="AC13" s="69">
        <v>5320199.95</v>
      </c>
      <c r="AD13" s="328">
        <f>'δικ κατά μήν και κοιν 2014-2015'!AD11</f>
        <v>-0.13559027777777777</v>
      </c>
    </row>
    <row r="14" spans="1:30" ht="57" customHeight="1" thickBot="1" x14ac:dyDescent="0.25">
      <c r="A14" s="251" t="s">
        <v>52</v>
      </c>
      <c r="B14" s="124">
        <f>AVERAGE(B8:B13)</f>
        <v>10821</v>
      </c>
      <c r="C14" s="252">
        <f>SUM(C8:C13)</f>
        <v>19306423</v>
      </c>
      <c r="D14" s="124">
        <f>AVERAGE(D8:D13)</f>
        <v>10981.666666666666</v>
      </c>
      <c r="E14" s="253">
        <f>SUM(E8:E13)</f>
        <v>20464792.640000001</v>
      </c>
      <c r="F14" s="124">
        <f>AVERAGE(F8:F13)</f>
        <v>10405</v>
      </c>
      <c r="G14" s="252">
        <f>SUM(G8:G13)</f>
        <v>20832547</v>
      </c>
      <c r="H14" s="124">
        <f>AVERAGE(H8:H13)</f>
        <v>9514</v>
      </c>
      <c r="I14" s="254">
        <f>SUM(I8:I13)</f>
        <v>34312701.960000001</v>
      </c>
      <c r="J14" s="124">
        <f>AVERAGE(J8:J13)</f>
        <v>12723.5</v>
      </c>
      <c r="K14" s="254">
        <f>SUM(K8:K13)</f>
        <v>41532261</v>
      </c>
      <c r="L14" s="255">
        <f t="shared" si="0"/>
        <v>0.33734496531427371</v>
      </c>
      <c r="M14" s="124">
        <f>AVERAGE(M8:M13)</f>
        <v>15286.5</v>
      </c>
      <c r="N14" s="97">
        <f>SUM(N8:N13)</f>
        <v>52815638</v>
      </c>
      <c r="O14" s="256">
        <f t="shared" si="1"/>
        <v>0.20143828349117765</v>
      </c>
      <c r="P14" s="124">
        <f>AVERAGE(P8:P13)</f>
        <v>16417</v>
      </c>
      <c r="Q14" s="97">
        <f>SUM(Q8:Q13)</f>
        <v>57856684</v>
      </c>
      <c r="R14" s="256">
        <f t="shared" si="2"/>
        <v>7.3954142544074841E-2</v>
      </c>
      <c r="S14" s="124">
        <f>AVERAGE(S8:S13)</f>
        <v>20639.666666666668</v>
      </c>
      <c r="T14" s="97">
        <f>SUM(T8:T13)</f>
        <v>74760740</v>
      </c>
      <c r="U14" s="256">
        <f t="shared" si="3"/>
        <v>0.25721305151164442</v>
      </c>
      <c r="V14" s="257">
        <f>AVERAGE(V8:V13)</f>
        <v>23022.166666666668</v>
      </c>
      <c r="W14" s="97">
        <f>SUM(W8:W13)</f>
        <v>86510539</v>
      </c>
      <c r="X14" s="255">
        <f t="shared" ref="X14" si="5">V14/S14-1</f>
        <v>0.1154330657794862</v>
      </c>
      <c r="Y14" s="93">
        <f>AVERAGE(Y8:Y13)</f>
        <v>18689.666666666668</v>
      </c>
      <c r="Z14" s="97">
        <f>SUM(Z8:Z13)</f>
        <v>80032099.620000005</v>
      </c>
      <c r="AA14" s="255">
        <f t="shared" si="4"/>
        <v>-0.18818819543483456</v>
      </c>
      <c r="AB14" s="230">
        <f>'δικ κατά μήν και κοιν 2014-2015'!AC12</f>
        <v>16827.833333333332</v>
      </c>
      <c r="AC14" s="97">
        <f>SUM(AC8:AC13)</f>
        <v>64817046.820000008</v>
      </c>
      <c r="AD14" s="329">
        <f>'δικ κατά μήν και κοιν 2014-2015'!AD12</f>
        <v>-9.9618327418002917E-2</v>
      </c>
    </row>
    <row r="15" spans="1:30" ht="15" customHeight="1" x14ac:dyDescent="0.2">
      <c r="A15" s="244" t="s">
        <v>26</v>
      </c>
      <c r="B15" s="28">
        <v>8708</v>
      </c>
      <c r="C15" s="245">
        <v>1031804</v>
      </c>
      <c r="D15" s="28">
        <v>8866</v>
      </c>
      <c r="E15" s="246">
        <v>2106129</v>
      </c>
      <c r="F15" s="28">
        <v>8061</v>
      </c>
      <c r="G15" s="245">
        <v>1502791</v>
      </c>
      <c r="H15" s="28">
        <v>7529</v>
      </c>
      <c r="I15" s="246">
        <v>2428466</v>
      </c>
      <c r="J15" s="28">
        <v>12127</v>
      </c>
      <c r="K15" s="246">
        <v>5106587</v>
      </c>
      <c r="L15" s="247">
        <f t="shared" si="0"/>
        <v>0.61070527294461407</v>
      </c>
      <c r="M15" s="28">
        <v>12749</v>
      </c>
      <c r="N15" s="83">
        <v>3590014</v>
      </c>
      <c r="O15" s="190">
        <f t="shared" si="1"/>
        <v>5.1290508782056543E-2</v>
      </c>
      <c r="P15" s="28">
        <v>14759</v>
      </c>
      <c r="Q15" s="83">
        <v>3742612</v>
      </c>
      <c r="R15" s="190">
        <f t="shared" si="2"/>
        <v>0.15765942426857005</v>
      </c>
      <c r="S15" s="28">
        <v>17559</v>
      </c>
      <c r="T15" s="83">
        <v>7397094</v>
      </c>
      <c r="U15" s="190">
        <f t="shared" si="3"/>
        <v>0.18971475032183749</v>
      </c>
      <c r="V15" s="248">
        <v>20026</v>
      </c>
      <c r="W15" s="83">
        <v>8606327</v>
      </c>
      <c r="X15" s="190">
        <v>0.14049775044136914</v>
      </c>
      <c r="Y15" s="28">
        <f>'δικ κατά μήν και κοιν 2014-2015'!W13</f>
        <v>12962</v>
      </c>
      <c r="Z15" s="83">
        <v>7529240.8700000001</v>
      </c>
      <c r="AA15" s="249">
        <f t="shared" si="4"/>
        <v>-0.35274143613302711</v>
      </c>
      <c r="AB15" s="28">
        <f>'δικ κατά μήν και κοιν 2014-2015'!AC13</f>
        <v>11914</v>
      </c>
      <c r="AC15" s="83">
        <v>5223997.03</v>
      </c>
      <c r="AD15" s="250">
        <f>'δικ κατά μήν και κοιν 2014-2015'!AD13</f>
        <v>-8.0851720413516404E-2</v>
      </c>
    </row>
    <row r="16" spans="1:30" ht="15" customHeight="1" x14ac:dyDescent="0.2">
      <c r="A16" s="237" t="s">
        <v>7</v>
      </c>
      <c r="B16" s="27">
        <v>8419</v>
      </c>
      <c r="C16" s="238">
        <v>2904935.01</v>
      </c>
      <c r="D16" s="27">
        <v>8827</v>
      </c>
      <c r="E16" s="59">
        <v>1377861</v>
      </c>
      <c r="F16" s="27">
        <v>7992</v>
      </c>
      <c r="G16" s="238">
        <v>2217876</v>
      </c>
      <c r="H16" s="27">
        <v>7648</v>
      </c>
      <c r="I16" s="59">
        <v>3006346</v>
      </c>
      <c r="J16" s="27">
        <v>12023</v>
      </c>
      <c r="K16" s="59">
        <v>4571245</v>
      </c>
      <c r="L16" s="216">
        <f t="shared" si="0"/>
        <v>0.57204497907949792</v>
      </c>
      <c r="M16" s="27">
        <v>12320</v>
      </c>
      <c r="N16" s="64">
        <v>5135684</v>
      </c>
      <c r="O16" s="186">
        <f t="shared" si="1"/>
        <v>2.470265324794152E-2</v>
      </c>
      <c r="P16" s="27">
        <v>14356</v>
      </c>
      <c r="Q16" s="64">
        <v>5949558</v>
      </c>
      <c r="R16" s="186">
        <f t="shared" si="2"/>
        <v>0.16525974025974022</v>
      </c>
      <c r="S16" s="27">
        <v>16606</v>
      </c>
      <c r="T16" s="64">
        <v>6406861</v>
      </c>
      <c r="U16" s="186">
        <f t="shared" si="3"/>
        <v>0.15672889384229594</v>
      </c>
      <c r="V16" s="187">
        <v>19330</v>
      </c>
      <c r="W16" s="64">
        <v>9095878</v>
      </c>
      <c r="X16" s="186">
        <v>0.16403709502589425</v>
      </c>
      <c r="Y16" s="27">
        <f>'δικ κατά μήν και κοιν 2014-2015'!W14</f>
        <v>12376</v>
      </c>
      <c r="Z16" s="64">
        <v>4793045.2300000004</v>
      </c>
      <c r="AA16" s="239">
        <f t="shared" si="4"/>
        <v>-0.3597516813243663</v>
      </c>
      <c r="AB16" s="248">
        <f>'δικ κατά μήν και κοιν 2014-2015'!AC14</f>
        <v>11484</v>
      </c>
      <c r="AC16" s="240">
        <v>4088196.16</v>
      </c>
      <c r="AD16" s="250">
        <f>'δικ κατά μήν και κοιν 2014-2015'!AD14</f>
        <v>-7.2074983839689688E-2</v>
      </c>
    </row>
    <row r="17" spans="1:30" ht="15" customHeight="1" x14ac:dyDescent="0.2">
      <c r="A17" s="237" t="s">
        <v>27</v>
      </c>
      <c r="B17" s="27">
        <v>7846</v>
      </c>
      <c r="C17" s="238">
        <v>2923665.34</v>
      </c>
      <c r="D17" s="27">
        <v>8413</v>
      </c>
      <c r="E17" s="59">
        <v>3020351.79</v>
      </c>
      <c r="F17" s="27">
        <v>7618</v>
      </c>
      <c r="G17" s="238">
        <v>2150669</v>
      </c>
      <c r="H17" s="27">
        <v>6945</v>
      </c>
      <c r="I17" s="59">
        <v>3873569</v>
      </c>
      <c r="J17" s="27">
        <v>11661</v>
      </c>
      <c r="K17" s="59">
        <v>7025665</v>
      </c>
      <c r="L17" s="216">
        <f t="shared" si="0"/>
        <v>0.67904967602591793</v>
      </c>
      <c r="M17" s="27">
        <v>11323</v>
      </c>
      <c r="N17" s="64">
        <v>8542058</v>
      </c>
      <c r="O17" s="186">
        <f t="shared" si="1"/>
        <v>-2.8985507246376829E-2</v>
      </c>
      <c r="P17" s="27">
        <v>13780</v>
      </c>
      <c r="Q17" s="64">
        <v>8229483</v>
      </c>
      <c r="R17" s="186">
        <f t="shared" si="2"/>
        <v>0.21699196326061987</v>
      </c>
      <c r="S17" s="27">
        <v>16394</v>
      </c>
      <c r="T17" s="64">
        <v>11517137</v>
      </c>
      <c r="U17" s="186">
        <f t="shared" si="3"/>
        <v>0.18969521044992743</v>
      </c>
      <c r="V17" s="187">
        <v>19612</v>
      </c>
      <c r="W17" s="64">
        <v>9533807</v>
      </c>
      <c r="X17" s="186">
        <v>0.19629132609491284</v>
      </c>
      <c r="Y17" s="27">
        <f>'δικ κατά μήν και κοιν 2014-2015'!W15</f>
        <v>12280</v>
      </c>
      <c r="Z17" s="64">
        <v>8105076.2800000003</v>
      </c>
      <c r="AA17" s="239">
        <f t="shared" si="4"/>
        <v>-0.37385274321843764</v>
      </c>
      <c r="AB17" s="248">
        <f>'δικ κατά μήν και κοιν 2014-2015'!AC15</f>
        <v>10044</v>
      </c>
      <c r="AC17" s="240">
        <v>5349213.13</v>
      </c>
      <c r="AD17" s="250">
        <f>'δικ κατά μήν και κοιν 2014-2015'!AD15</f>
        <v>-0.18208469055374588</v>
      </c>
    </row>
    <row r="18" spans="1:30" ht="15" customHeight="1" x14ac:dyDescent="0.2">
      <c r="A18" s="237" t="s">
        <v>28</v>
      </c>
      <c r="B18" s="27">
        <v>6917</v>
      </c>
      <c r="C18" s="238">
        <v>1827238</v>
      </c>
      <c r="D18" s="27">
        <v>6743</v>
      </c>
      <c r="E18" s="59">
        <v>2304286</v>
      </c>
      <c r="F18" s="27">
        <v>5798</v>
      </c>
      <c r="G18" s="238">
        <v>2070347</v>
      </c>
      <c r="H18" s="27">
        <v>5771</v>
      </c>
      <c r="I18" s="59">
        <v>3454842</v>
      </c>
      <c r="J18" s="27">
        <v>10381</v>
      </c>
      <c r="K18" s="59">
        <v>5069350</v>
      </c>
      <c r="L18" s="216">
        <f t="shared" si="0"/>
        <v>0.79882169468029796</v>
      </c>
      <c r="M18" s="27">
        <v>9802</v>
      </c>
      <c r="N18" s="64">
        <v>4385709</v>
      </c>
      <c r="O18" s="186">
        <f t="shared" si="1"/>
        <v>-5.5774973509295833E-2</v>
      </c>
      <c r="P18" s="27">
        <v>12259</v>
      </c>
      <c r="Q18" s="64">
        <v>7387566</v>
      </c>
      <c r="R18" s="186">
        <f t="shared" si="2"/>
        <v>0.25066312997347473</v>
      </c>
      <c r="S18" s="27">
        <v>14368</v>
      </c>
      <c r="T18" s="64">
        <v>9890312</v>
      </c>
      <c r="U18" s="186">
        <f t="shared" si="3"/>
        <v>0.172036870870381</v>
      </c>
      <c r="V18" s="187">
        <v>16726</v>
      </c>
      <c r="W18" s="64">
        <v>13392733.119999999</v>
      </c>
      <c r="X18" s="186">
        <v>0.16411469933184852</v>
      </c>
      <c r="Y18" s="27">
        <f>'δικ κατά μήν και κοιν 2014-2015'!W16</f>
        <v>10128</v>
      </c>
      <c r="Z18" s="64">
        <v>6274512.7000000002</v>
      </c>
      <c r="AA18" s="239">
        <f t="shared" si="4"/>
        <v>-0.39447566662680855</v>
      </c>
      <c r="AB18" s="248">
        <f>'δικ κατά μήν και κοιν 2014-2015'!AC16</f>
        <v>8292</v>
      </c>
      <c r="AC18" s="240">
        <v>7804219.7999999998</v>
      </c>
      <c r="AD18" s="250">
        <f>'δικ κατά μήν και κοιν 2014-2015'!AD16</f>
        <v>-0.18127962085308058</v>
      </c>
    </row>
    <row r="19" spans="1:30" ht="15" customHeight="1" x14ac:dyDescent="0.2">
      <c r="A19" s="237" t="s">
        <v>29</v>
      </c>
      <c r="B19" s="27">
        <v>10002</v>
      </c>
      <c r="C19" s="238">
        <v>1990787</v>
      </c>
      <c r="D19" s="27">
        <v>10026</v>
      </c>
      <c r="E19" s="59">
        <v>2463829</v>
      </c>
      <c r="F19" s="27">
        <v>8930</v>
      </c>
      <c r="G19" s="238">
        <v>1916507</v>
      </c>
      <c r="H19" s="27">
        <v>9212</v>
      </c>
      <c r="I19" s="59">
        <v>2912126</v>
      </c>
      <c r="J19" s="27">
        <v>14716</v>
      </c>
      <c r="K19" s="59">
        <v>7174890</v>
      </c>
      <c r="L19" s="216">
        <f t="shared" si="0"/>
        <v>0.59748154580981327</v>
      </c>
      <c r="M19" s="27">
        <v>13996</v>
      </c>
      <c r="N19" s="64">
        <v>6514316</v>
      </c>
      <c r="O19" s="186">
        <f t="shared" si="1"/>
        <v>-4.8926338678988879E-2</v>
      </c>
      <c r="P19" s="27">
        <v>17523</v>
      </c>
      <c r="Q19" s="64">
        <v>8227126</v>
      </c>
      <c r="R19" s="186">
        <f t="shared" si="2"/>
        <v>0.25200057159188338</v>
      </c>
      <c r="S19" s="27">
        <v>19761</v>
      </c>
      <c r="T19" s="64">
        <v>7834516</v>
      </c>
      <c r="U19" s="186">
        <f t="shared" si="3"/>
        <v>0.12771785653141587</v>
      </c>
      <c r="V19" s="187">
        <v>21240</v>
      </c>
      <c r="W19" s="64">
        <v>14301504</v>
      </c>
      <c r="X19" s="186">
        <v>7.484439046606961E-2</v>
      </c>
      <c r="Y19" s="27">
        <f>'δικ κατά μήν και κοιν 2014-2015'!W17</f>
        <v>17543</v>
      </c>
      <c r="Z19" s="240">
        <v>4760848.29</v>
      </c>
      <c r="AA19" s="239">
        <f t="shared" si="4"/>
        <v>-0.17405838041431265</v>
      </c>
      <c r="AB19" s="248">
        <f>'δικ κατά μήν και κοιν 2014-2015'!AC17</f>
        <v>16278</v>
      </c>
      <c r="AC19" s="240">
        <v>5176106.72</v>
      </c>
      <c r="AD19" s="250">
        <f>'δικ κατά μήν και κοιν 2014-2015'!AD17</f>
        <v>-7.2108533318132606E-2</v>
      </c>
    </row>
    <row r="20" spans="1:30" ht="15" customHeight="1" thickBot="1" x14ac:dyDescent="0.25">
      <c r="A20" s="241" t="s">
        <v>30</v>
      </c>
      <c r="B20" s="20">
        <v>13093</v>
      </c>
      <c r="C20" s="242">
        <v>1935627</v>
      </c>
      <c r="D20" s="20">
        <v>12931</v>
      </c>
      <c r="E20" s="73">
        <v>1815997</v>
      </c>
      <c r="F20" s="20">
        <v>12041</v>
      </c>
      <c r="G20" s="242">
        <v>1472275</v>
      </c>
      <c r="H20" s="20">
        <v>12724</v>
      </c>
      <c r="I20" s="73">
        <v>3423575</v>
      </c>
      <c r="J20" s="20">
        <v>18370</v>
      </c>
      <c r="K20" s="73">
        <v>7432835</v>
      </c>
      <c r="L20" s="243">
        <f t="shared" si="0"/>
        <v>0.44372838729959141</v>
      </c>
      <c r="M20" s="20">
        <v>18115</v>
      </c>
      <c r="N20" s="69">
        <v>4825777</v>
      </c>
      <c r="O20" s="188">
        <f t="shared" si="1"/>
        <v>-1.3881328252585701E-2</v>
      </c>
      <c r="P20" s="20">
        <v>22051</v>
      </c>
      <c r="Q20" s="69">
        <v>6997865</v>
      </c>
      <c r="R20" s="188">
        <f t="shared" si="2"/>
        <v>0.21727849848192116</v>
      </c>
      <c r="S20" s="20">
        <v>24195</v>
      </c>
      <c r="T20" s="69">
        <v>6661968</v>
      </c>
      <c r="U20" s="188">
        <f t="shared" si="3"/>
        <v>9.7229150605414816E-2</v>
      </c>
      <c r="V20" s="192">
        <v>24855</v>
      </c>
      <c r="W20" s="69">
        <v>8462540.4199999999</v>
      </c>
      <c r="X20" s="188">
        <v>2.7278363298202102E-2</v>
      </c>
      <c r="Y20" s="20">
        <f>'δικ κατά μήν και κοιν 2014-2015'!W18</f>
        <v>21335</v>
      </c>
      <c r="Z20" s="69">
        <v>5118992.74</v>
      </c>
      <c r="AA20" s="259">
        <f t="shared" si="4"/>
        <v>-0.14162140414403546</v>
      </c>
      <c r="AB20" s="248">
        <f>'δικ κατά μήν και κοιν 2014-2015'!AC18</f>
        <v>20499</v>
      </c>
      <c r="AC20" s="330">
        <v>4820164.46</v>
      </c>
      <c r="AD20" s="250">
        <f>'δικ κατά μήν και κοιν 2014-2015'!AD18</f>
        <v>-3.91844387157253E-2</v>
      </c>
    </row>
    <row r="21" spans="1:30" ht="57.75" customHeight="1" thickBot="1" x14ac:dyDescent="0.25">
      <c r="A21" s="251" t="s">
        <v>53</v>
      </c>
      <c r="B21" s="260">
        <f>AVERAGE(B15:B20)</f>
        <v>9164.1666666666661</v>
      </c>
      <c r="C21" s="252">
        <f>SUM(C15:C20)</f>
        <v>12614056.35</v>
      </c>
      <c r="D21" s="261">
        <f>AVERAGE(D15:D20)</f>
        <v>9301</v>
      </c>
      <c r="E21" s="253">
        <f>SUM(E15:E20)</f>
        <v>13088453.789999999</v>
      </c>
      <c r="F21" s="260">
        <f>AVERAGE(F15:F20)</f>
        <v>8406.6666666666661</v>
      </c>
      <c r="G21" s="252">
        <f>SUM(G15:G20)</f>
        <v>11330465</v>
      </c>
      <c r="H21" s="230">
        <f>AVERAGE(H15:H20)</f>
        <v>8304.8333333333339</v>
      </c>
      <c r="I21" s="254">
        <f>SUM(I15:I20)</f>
        <v>19098924</v>
      </c>
      <c r="J21" s="230">
        <f>AVERAGE(J15:J20)</f>
        <v>13213</v>
      </c>
      <c r="K21" s="254">
        <f>SUM(K15:K20)</f>
        <v>36380572</v>
      </c>
      <c r="L21" s="255">
        <f t="shared" si="0"/>
        <v>0.59100122418671841</v>
      </c>
      <c r="M21" s="124">
        <f>AVERAGE(M15:M20)</f>
        <v>13050.833333333334</v>
      </c>
      <c r="N21" s="97">
        <f>SUM(N15:N20)</f>
        <v>32993558</v>
      </c>
      <c r="O21" s="256">
        <f t="shared" si="1"/>
        <v>-1.2273266227704971E-2</v>
      </c>
      <c r="P21" s="124">
        <f>AVERAGE(P15:P20)</f>
        <v>15788</v>
      </c>
      <c r="Q21" s="97">
        <f>SUM(Q15:Q20)</f>
        <v>40534210</v>
      </c>
      <c r="R21" s="258">
        <f t="shared" si="2"/>
        <v>0.2097311793627481</v>
      </c>
      <c r="S21" s="124">
        <f>AVERAGE(S15:S20)</f>
        <v>18147.166666666668</v>
      </c>
      <c r="T21" s="97">
        <f>SUM(T15:T20)</f>
        <v>49707888</v>
      </c>
      <c r="U21" s="258">
        <f t="shared" si="3"/>
        <v>0.14942783548686767</v>
      </c>
      <c r="V21" s="257">
        <f>AVERAGE(V15:V20)</f>
        <v>20298.166666666668</v>
      </c>
      <c r="W21" s="97">
        <f>SUM(W15:W20)</f>
        <v>63392789.539999999</v>
      </c>
      <c r="X21" s="256">
        <f>V21/S21-1</f>
        <v>0.1185309001405177</v>
      </c>
      <c r="Y21" s="124">
        <f>AVERAGE(Y15:Y20)</f>
        <v>14437.333333333334</v>
      </c>
      <c r="Z21" s="97">
        <f>SUM(Z15:Z20)</f>
        <v>36581716.109999999</v>
      </c>
      <c r="AA21" s="256">
        <f>Y21/V21-1</f>
        <v>-0.28873707806123705</v>
      </c>
      <c r="AB21" s="124">
        <f>AVERAGE(AB15:AB20)</f>
        <v>13085.166666666666</v>
      </c>
      <c r="AC21" s="97">
        <f>SUM(AC15:AC20)</f>
        <v>32461897.300000001</v>
      </c>
      <c r="AD21" s="262">
        <f>AB21/Y21-1</f>
        <v>-9.3657646841522113E-2</v>
      </c>
    </row>
    <row r="22" spans="1:30" ht="46.5" customHeight="1" thickBot="1" x14ac:dyDescent="0.25">
      <c r="A22" s="251" t="s">
        <v>54</v>
      </c>
      <c r="B22" s="230">
        <f>AVERAGE(B14,B21)</f>
        <v>9992.5833333333321</v>
      </c>
      <c r="C22" s="263">
        <f>SUM(C14,C21)</f>
        <v>31920479.350000001</v>
      </c>
      <c r="D22" s="230">
        <f>AVERAGE(D14,D21)</f>
        <v>10141.333333333332</v>
      </c>
      <c r="E22" s="264">
        <f>SUM(E14,E21)</f>
        <v>33553246.43</v>
      </c>
      <c r="F22" s="230">
        <f>AVERAGE(F14,F21)</f>
        <v>9405.8333333333321</v>
      </c>
      <c r="G22" s="263">
        <f>SUM(G14,G21)</f>
        <v>32163012</v>
      </c>
      <c r="H22" s="230">
        <f>AVERAGE(H8:H13,H15:H20)</f>
        <v>8909.4166666666661</v>
      </c>
      <c r="I22" s="265">
        <f>SUM(I14,I21)</f>
        <v>53411625.960000001</v>
      </c>
      <c r="J22" s="230">
        <f>AVERAGE(J8:J13,J15:J20)</f>
        <v>12968.25</v>
      </c>
      <c r="K22" s="266">
        <f>SUM(K14,K21)</f>
        <v>77912833</v>
      </c>
      <c r="L22" s="255">
        <f t="shared" si="0"/>
        <v>0.45556667570828635</v>
      </c>
      <c r="M22" s="124">
        <f>AVERAGE(M8:M13,M15:M20)</f>
        <v>14168.666666666666</v>
      </c>
      <c r="N22" s="97">
        <f>SUM(N14,N21)</f>
        <v>85809196</v>
      </c>
      <c r="O22" s="256">
        <f t="shared" si="1"/>
        <v>9.2565817798597738E-2</v>
      </c>
      <c r="P22" s="124">
        <f>AVERAGE(P8:P13,P15:P20)</f>
        <v>16102.5</v>
      </c>
      <c r="Q22" s="97">
        <f>SUM(Q14,Q21)</f>
        <v>98390894</v>
      </c>
      <c r="R22" s="258">
        <f t="shared" si="2"/>
        <v>0.13648661365454284</v>
      </c>
      <c r="S22" s="124">
        <f>AVERAGE(S8:S13,S15:S20)</f>
        <v>19393.416666666668</v>
      </c>
      <c r="T22" s="97">
        <f>SUM(T14,T21)</f>
        <v>124468628</v>
      </c>
      <c r="U22" s="258">
        <f t="shared" si="3"/>
        <v>0.20437302696268711</v>
      </c>
      <c r="V22" s="267">
        <f>AVERAGE(V8:V13,V15:V20)</f>
        <v>21660.166666666668</v>
      </c>
      <c r="W22" s="97">
        <f>SUM(W14,W21)</f>
        <v>149903328.53999999</v>
      </c>
      <c r="X22" s="258">
        <f>V22/S22-1</f>
        <v>0.11688244722221031</v>
      </c>
      <c r="Y22" s="267">
        <f>AVERAGE(Y8:Y13,Y15:Y20)</f>
        <v>16563.5</v>
      </c>
      <c r="Z22" s="97">
        <f>SUM(Z14,Z21)</f>
        <v>116613815.73</v>
      </c>
      <c r="AA22" s="258">
        <f>Y22/V22-1</f>
        <v>-0.23530135963866083</v>
      </c>
      <c r="AB22" s="267">
        <f>AVERAGE(AB8:AB13,AB15:AB20)</f>
        <v>14956.5</v>
      </c>
      <c r="AC22" s="97">
        <f>SUM(AC14,AC21)</f>
        <v>97278944.120000005</v>
      </c>
      <c r="AD22" s="181">
        <f>AB22/Y22-1</f>
        <v>-9.702055724937364E-2</v>
      </c>
    </row>
    <row r="23" spans="1:30" ht="18" customHeight="1" thickBot="1" x14ac:dyDescent="0.25">
      <c r="A23" s="268" t="s">
        <v>58</v>
      </c>
      <c r="B23" s="269"/>
      <c r="C23" s="269"/>
      <c r="D23" s="269"/>
      <c r="E23" s="269"/>
      <c r="F23" s="269"/>
      <c r="G23" s="270">
        <v>54812341</v>
      </c>
      <c r="H23" s="271"/>
      <c r="I23" s="265">
        <v>54291437</v>
      </c>
      <c r="J23" s="271"/>
      <c r="K23" s="266">
        <v>77869786</v>
      </c>
      <c r="L23" s="272"/>
      <c r="M23" s="273"/>
      <c r="N23" s="97">
        <v>85809195</v>
      </c>
      <c r="O23" s="274"/>
      <c r="P23" s="124"/>
      <c r="Q23" s="97">
        <v>98390894</v>
      </c>
      <c r="R23" s="258"/>
      <c r="S23" s="124"/>
      <c r="T23" s="97">
        <v>124468629</v>
      </c>
      <c r="U23" s="258"/>
      <c r="V23" s="267"/>
      <c r="W23" s="97">
        <v>150239188</v>
      </c>
      <c r="X23" s="258"/>
      <c r="Y23" s="267"/>
      <c r="Z23" s="97">
        <v>117046967.5</v>
      </c>
      <c r="AA23" s="258"/>
      <c r="AB23" s="267"/>
      <c r="AC23" s="97">
        <v>97619229</v>
      </c>
      <c r="AD23" s="181"/>
    </row>
    <row r="24" spans="1:30" ht="10.5" customHeight="1" x14ac:dyDescent="0.2">
      <c r="A24" s="49"/>
      <c r="B24" s="50"/>
      <c r="C24" s="50"/>
      <c r="D24" s="50"/>
      <c r="E24" s="50"/>
      <c r="F24" s="50"/>
      <c r="G24" s="50"/>
      <c r="H24" s="46"/>
      <c r="I24" s="51"/>
      <c r="J24" s="46"/>
      <c r="K24" s="47"/>
      <c r="L24" s="41"/>
      <c r="M24" s="41"/>
      <c r="N24" s="48"/>
      <c r="O24" s="11"/>
      <c r="P24" s="11"/>
      <c r="Q24" s="52"/>
    </row>
    <row r="25" spans="1:30" x14ac:dyDescent="0.2">
      <c r="A25" s="400" t="s">
        <v>56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</row>
    <row r="26" spans="1:30" ht="12" customHeight="1" x14ac:dyDescent="0.2">
      <c r="A26" s="390" t="s">
        <v>57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</row>
    <row r="27" spans="1:30" ht="12.75" customHeight="1" x14ac:dyDescent="0.2">
      <c r="A27" s="391" t="s">
        <v>55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</row>
    <row r="28" spans="1:30" ht="28.5" customHeight="1" x14ac:dyDescent="0.2">
      <c r="A28" s="397" t="s">
        <v>147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8"/>
      <c r="AC28" s="398"/>
      <c r="AD28" s="398"/>
    </row>
    <row r="29" spans="1:30" x14ac:dyDescent="0.2">
      <c r="A29" s="32"/>
      <c r="B29" s="31"/>
      <c r="C29" s="31"/>
      <c r="D29" s="31"/>
      <c r="E29" s="31"/>
      <c r="F29" s="373"/>
      <c r="G29" s="373"/>
      <c r="H29" s="37"/>
      <c r="N29" s="34"/>
      <c r="O29" s="34"/>
      <c r="P29" s="34"/>
    </row>
    <row r="30" spans="1:30" x14ac:dyDescent="0.2">
      <c r="A30" s="35" t="s">
        <v>143</v>
      </c>
      <c r="B30" s="35"/>
      <c r="C30" s="35"/>
      <c r="D30" s="35"/>
      <c r="E30" s="35"/>
      <c r="F30" s="34"/>
      <c r="G30" s="34"/>
      <c r="H30" s="36"/>
      <c r="I30" s="31"/>
      <c r="J30" s="32"/>
      <c r="K30" s="34"/>
      <c r="L30" s="34"/>
      <c r="M30" s="34"/>
      <c r="N30" s="34"/>
      <c r="O30" s="43"/>
      <c r="P30" s="34"/>
      <c r="Q30" s="31"/>
      <c r="R30" s="31"/>
      <c r="S30" s="31"/>
      <c r="T30" s="31"/>
      <c r="U30" s="34"/>
      <c r="V30" s="171"/>
      <c r="W30" s="31"/>
      <c r="X30" s="31"/>
      <c r="Y30" s="31"/>
      <c r="Z30" s="34"/>
      <c r="AA30" s="31"/>
      <c r="AB30" s="31"/>
      <c r="AC30" s="179" t="s">
        <v>12</v>
      </c>
      <c r="AD30" s="31"/>
    </row>
    <row r="31" spans="1:30" x14ac:dyDescent="0.2">
      <c r="A31" s="32">
        <f>'δικ κατά μήν και κοιν 2014-2015'!A28</f>
        <v>42419</v>
      </c>
      <c r="B31" s="31"/>
      <c r="C31" s="31"/>
      <c r="D31" s="31"/>
      <c r="E31" s="31"/>
      <c r="F31" s="373"/>
      <c r="G31" s="373"/>
      <c r="H31" s="37"/>
      <c r="I31" s="31"/>
      <c r="J31" s="31"/>
      <c r="K31" s="31"/>
      <c r="L31" s="31"/>
      <c r="M31" s="31"/>
      <c r="N31" s="34"/>
      <c r="O31" s="34"/>
      <c r="P31" s="34"/>
      <c r="Q31" s="31"/>
      <c r="R31" s="31"/>
      <c r="S31" s="31"/>
      <c r="T31" s="31"/>
      <c r="U31" s="34"/>
      <c r="V31" s="171"/>
      <c r="W31" s="31"/>
      <c r="X31" s="31"/>
      <c r="Y31" s="31"/>
      <c r="Z31" s="34"/>
      <c r="AA31" s="31"/>
      <c r="AB31" s="31"/>
      <c r="AC31" s="179" t="s">
        <v>11</v>
      </c>
      <c r="AD31" s="31"/>
    </row>
    <row r="32" spans="1:30" x14ac:dyDescent="0.2">
      <c r="A32" s="32"/>
      <c r="B32" s="31"/>
      <c r="C32" s="31"/>
      <c r="D32" s="31"/>
      <c r="E32" s="31"/>
      <c r="F32" s="373"/>
      <c r="G32" s="373"/>
      <c r="H32" s="37"/>
      <c r="I32" s="31"/>
      <c r="J32" s="31"/>
      <c r="K32" s="31"/>
      <c r="L32" s="31"/>
      <c r="M32" s="31"/>
      <c r="N32" s="34"/>
      <c r="O32" s="34"/>
      <c r="P32" s="34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6" spans="1:1" x14ac:dyDescent="0.2">
      <c r="A36" s="21"/>
    </row>
  </sheetData>
  <mergeCells count="34">
    <mergeCell ref="A2:AA2"/>
    <mergeCell ref="A25:AA25"/>
    <mergeCell ref="AA4:AA7"/>
    <mergeCell ref="B4:C4"/>
    <mergeCell ref="D4:E4"/>
    <mergeCell ref="P4:Q4"/>
    <mergeCell ref="T5:T6"/>
    <mergeCell ref="R4:R7"/>
    <mergeCell ref="H4:I4"/>
    <mergeCell ref="V4:W4"/>
    <mergeCell ref="X4:X7"/>
    <mergeCell ref="W5:W6"/>
    <mergeCell ref="N5:N6"/>
    <mergeCell ref="O4:O7"/>
    <mergeCell ref="U4:U7"/>
    <mergeCell ref="AB4:AC4"/>
    <mergeCell ref="AD4:AD7"/>
    <mergeCell ref="AC5:AC6"/>
    <mergeCell ref="F4:G4"/>
    <mergeCell ref="A28:AD28"/>
    <mergeCell ref="Y4:Z4"/>
    <mergeCell ref="M4:N4"/>
    <mergeCell ref="J4:K4"/>
    <mergeCell ref="F32:G32"/>
    <mergeCell ref="Q5:Q6"/>
    <mergeCell ref="F29:G29"/>
    <mergeCell ref="F31:G31"/>
    <mergeCell ref="A26:AA26"/>
    <mergeCell ref="A27:AA27"/>
    <mergeCell ref="Z5:Z6"/>
    <mergeCell ref="I5:I6"/>
    <mergeCell ref="L4:L7"/>
    <mergeCell ref="S4:T4"/>
    <mergeCell ref="K5:K6"/>
  </mergeCells>
  <phoneticPr fontId="0" type="noConversion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2" sqref="B32"/>
    </sheetView>
  </sheetViews>
  <sheetFormatPr defaultRowHeight="12.75" x14ac:dyDescent="0.2"/>
  <cols>
    <col min="1" max="1" width="5.5703125" customWidth="1"/>
    <col min="2" max="2" width="58" customWidth="1"/>
    <col min="3" max="7" width="12.7109375" customWidth="1"/>
    <col min="8" max="8" width="11" customWidth="1"/>
  </cols>
  <sheetData>
    <row r="1" spans="1:8" ht="19.5" customHeight="1" x14ac:dyDescent="0.2">
      <c r="A1" s="126" t="s">
        <v>107</v>
      </c>
      <c r="B1" s="98"/>
    </row>
    <row r="2" spans="1:8" ht="28.5" customHeight="1" x14ac:dyDescent="0.2">
      <c r="A2" s="402" t="s">
        <v>128</v>
      </c>
      <c r="B2" s="402"/>
      <c r="C2" s="402"/>
      <c r="D2" s="402"/>
      <c r="E2" s="402"/>
      <c r="F2" s="402"/>
      <c r="G2" s="402"/>
      <c r="H2" s="402"/>
    </row>
    <row r="3" spans="1:8" ht="6" customHeight="1" thickBot="1" x14ac:dyDescent="0.3">
      <c r="A3" s="401"/>
      <c r="B3" s="401"/>
      <c r="C3" s="401"/>
    </row>
    <row r="4" spans="1:8" ht="15.75" customHeight="1" x14ac:dyDescent="0.2">
      <c r="A4" s="279"/>
      <c r="B4" s="280"/>
      <c r="C4" s="404" t="s">
        <v>62</v>
      </c>
      <c r="D4" s="404"/>
      <c r="E4" s="404"/>
      <c r="F4" s="404"/>
      <c r="G4" s="404"/>
      <c r="H4" s="405"/>
    </row>
    <row r="5" spans="1:8" ht="17.25" customHeight="1" x14ac:dyDescent="0.2">
      <c r="A5" s="281" t="s">
        <v>63</v>
      </c>
      <c r="B5" s="282" t="s">
        <v>64</v>
      </c>
      <c r="C5" s="407" t="s">
        <v>65</v>
      </c>
      <c r="D5" s="407"/>
      <c r="E5" s="408" t="s">
        <v>66</v>
      </c>
      <c r="F5" s="408"/>
      <c r="G5" s="375" t="s">
        <v>6</v>
      </c>
      <c r="H5" s="403" t="s">
        <v>116</v>
      </c>
    </row>
    <row r="6" spans="1:8" ht="24" x14ac:dyDescent="0.2">
      <c r="A6" s="213"/>
      <c r="B6" s="214"/>
      <c r="C6" s="283" t="s">
        <v>67</v>
      </c>
      <c r="D6" s="284" t="s">
        <v>68</v>
      </c>
      <c r="E6" s="284" t="s">
        <v>68</v>
      </c>
      <c r="F6" s="284" t="s">
        <v>69</v>
      </c>
      <c r="G6" s="375"/>
      <c r="H6" s="403"/>
    </row>
    <row r="7" spans="1:8" ht="15" customHeight="1" x14ac:dyDescent="0.2">
      <c r="A7" s="285">
        <v>1</v>
      </c>
      <c r="B7" s="286" t="s">
        <v>70</v>
      </c>
      <c r="C7" s="275">
        <v>0</v>
      </c>
      <c r="D7" s="64">
        <v>0</v>
      </c>
      <c r="E7" s="65">
        <v>1</v>
      </c>
      <c r="F7" s="65">
        <v>147</v>
      </c>
      <c r="G7" s="64">
        <f>C7+D7+E7+F7</f>
        <v>148</v>
      </c>
      <c r="H7" s="128">
        <f>G7/G30</f>
        <v>4.7381226789601745E-3</v>
      </c>
    </row>
    <row r="8" spans="1:8" ht="15" customHeight="1" x14ac:dyDescent="0.2">
      <c r="A8" s="285">
        <v>2</v>
      </c>
      <c r="B8" s="286" t="s">
        <v>71</v>
      </c>
      <c r="C8" s="275">
        <v>0</v>
      </c>
      <c r="D8" s="64">
        <v>0</v>
      </c>
      <c r="E8" s="65">
        <v>0</v>
      </c>
      <c r="F8" s="65">
        <v>25</v>
      </c>
      <c r="G8" s="64">
        <f t="shared" ref="G8:G29" si="0">C8+D8+E8+F8</f>
        <v>25</v>
      </c>
      <c r="H8" s="128">
        <f>G8/G30</f>
        <v>8.0035856063516452E-4</v>
      </c>
    </row>
    <row r="9" spans="1:8" ht="15" customHeight="1" x14ac:dyDescent="0.2">
      <c r="A9" s="285">
        <v>3</v>
      </c>
      <c r="B9" s="286" t="s">
        <v>72</v>
      </c>
      <c r="C9" s="275">
        <v>59</v>
      </c>
      <c r="D9" s="64">
        <v>0</v>
      </c>
      <c r="E9" s="65">
        <v>2</v>
      </c>
      <c r="F9" s="65">
        <v>1638</v>
      </c>
      <c r="G9" s="64">
        <f t="shared" si="0"/>
        <v>1699</v>
      </c>
      <c r="H9" s="128">
        <f>G9/G30</f>
        <v>5.4392367780765782E-2</v>
      </c>
    </row>
    <row r="10" spans="1:8" ht="15" customHeight="1" x14ac:dyDescent="0.2">
      <c r="A10" s="285">
        <v>4</v>
      </c>
      <c r="B10" s="286" t="s">
        <v>73</v>
      </c>
      <c r="C10" s="276">
        <v>0</v>
      </c>
      <c r="D10" s="67">
        <v>0</v>
      </c>
      <c r="E10" s="68">
        <v>0</v>
      </c>
      <c r="F10" s="60">
        <v>14</v>
      </c>
      <c r="G10" s="64">
        <f t="shared" si="0"/>
        <v>14</v>
      </c>
      <c r="H10" s="128">
        <f>G10/G30</f>
        <v>4.4820079395569215E-4</v>
      </c>
    </row>
    <row r="11" spans="1:8" ht="26.25" customHeight="1" x14ac:dyDescent="0.2">
      <c r="A11" s="285">
        <v>5</v>
      </c>
      <c r="B11" s="286" t="s">
        <v>74</v>
      </c>
      <c r="C11" s="275">
        <v>0</v>
      </c>
      <c r="D11" s="64">
        <v>0</v>
      </c>
      <c r="E11" s="65">
        <v>0</v>
      </c>
      <c r="F11" s="65">
        <v>16</v>
      </c>
      <c r="G11" s="64">
        <f t="shared" si="0"/>
        <v>16</v>
      </c>
      <c r="H11" s="128">
        <f>G11/G30</f>
        <v>5.122294788065053E-4</v>
      </c>
    </row>
    <row r="12" spans="1:8" ht="15.75" customHeight="1" x14ac:dyDescent="0.2">
      <c r="A12" s="285">
        <v>6</v>
      </c>
      <c r="B12" s="286" t="s">
        <v>75</v>
      </c>
      <c r="C12" s="276">
        <v>0</v>
      </c>
      <c r="D12" s="59">
        <v>2</v>
      </c>
      <c r="E12" s="60">
        <v>14</v>
      </c>
      <c r="F12" s="60">
        <v>2087</v>
      </c>
      <c r="G12" s="64">
        <f t="shared" si="0"/>
        <v>2103</v>
      </c>
      <c r="H12" s="128">
        <f>G12/G30</f>
        <v>6.7326162120630043E-2</v>
      </c>
    </row>
    <row r="13" spans="1:8" ht="27.75" customHeight="1" x14ac:dyDescent="0.2">
      <c r="A13" s="285">
        <v>7</v>
      </c>
      <c r="B13" s="286" t="s">
        <v>76</v>
      </c>
      <c r="C13" s="276">
        <v>0</v>
      </c>
      <c r="D13" s="59">
        <v>242</v>
      </c>
      <c r="E13" s="60">
        <v>34</v>
      </c>
      <c r="F13" s="60">
        <f>3734+4</f>
        <v>3738</v>
      </c>
      <c r="G13" s="64">
        <f t="shared" si="0"/>
        <v>4014</v>
      </c>
      <c r="H13" s="128">
        <f>G13/G30</f>
        <v>0.12850557049558203</v>
      </c>
    </row>
    <row r="14" spans="1:8" ht="15" customHeight="1" x14ac:dyDescent="0.2">
      <c r="A14" s="285">
        <v>8</v>
      </c>
      <c r="B14" s="286" t="s">
        <v>77</v>
      </c>
      <c r="C14" s="276">
        <v>0</v>
      </c>
      <c r="D14" s="59">
        <v>40</v>
      </c>
      <c r="E14" s="59">
        <v>12</v>
      </c>
      <c r="F14" s="60">
        <f>1142+1</f>
        <v>1143</v>
      </c>
      <c r="G14" s="64">
        <f t="shared" si="0"/>
        <v>1195</v>
      </c>
      <c r="H14" s="128">
        <f>G14/G30</f>
        <v>3.8257139198360865E-2</v>
      </c>
    </row>
    <row r="15" spans="1:8" ht="15" customHeight="1" x14ac:dyDescent="0.2">
      <c r="A15" s="285">
        <v>9</v>
      </c>
      <c r="B15" s="286" t="s">
        <v>78</v>
      </c>
      <c r="C15" s="275">
        <v>0</v>
      </c>
      <c r="D15" s="64">
        <v>4306</v>
      </c>
      <c r="E15" s="65">
        <v>4723</v>
      </c>
      <c r="F15" s="65">
        <f>3978+2</f>
        <v>3980</v>
      </c>
      <c r="G15" s="64">
        <f t="shared" si="0"/>
        <v>13009</v>
      </c>
      <c r="H15" s="128">
        <f>G15/G30</f>
        <v>0.41647458061211423</v>
      </c>
    </row>
    <row r="16" spans="1:8" ht="15" customHeight="1" x14ac:dyDescent="0.2">
      <c r="A16" s="285">
        <v>10</v>
      </c>
      <c r="B16" s="286" t="s">
        <v>79</v>
      </c>
      <c r="C16" s="275">
        <v>0</v>
      </c>
      <c r="D16" s="64">
        <v>0</v>
      </c>
      <c r="E16" s="65">
        <v>1</v>
      </c>
      <c r="F16" s="65">
        <v>623</v>
      </c>
      <c r="G16" s="64">
        <f t="shared" si="0"/>
        <v>624</v>
      </c>
      <c r="H16" s="128">
        <f>G16/G30</f>
        <v>1.9976949673453707E-2</v>
      </c>
    </row>
    <row r="17" spans="1:8" ht="15" customHeight="1" x14ac:dyDescent="0.2">
      <c r="A17" s="285">
        <v>11</v>
      </c>
      <c r="B17" s="286" t="s">
        <v>80</v>
      </c>
      <c r="C17" s="275">
        <v>0</v>
      </c>
      <c r="D17" s="64">
        <v>0</v>
      </c>
      <c r="E17" s="65">
        <v>0</v>
      </c>
      <c r="F17" s="60">
        <v>584</v>
      </c>
      <c r="G17" s="64">
        <f t="shared" si="0"/>
        <v>584</v>
      </c>
      <c r="H17" s="128">
        <f>G17/G30</f>
        <v>1.8696375976437443E-2</v>
      </c>
    </row>
    <row r="18" spans="1:8" ht="15" customHeight="1" x14ac:dyDescent="0.2">
      <c r="A18" s="285">
        <v>12</v>
      </c>
      <c r="B18" s="286" t="s">
        <v>81</v>
      </c>
      <c r="C18" s="275">
        <v>0</v>
      </c>
      <c r="D18" s="64">
        <v>0</v>
      </c>
      <c r="E18" s="65">
        <v>8</v>
      </c>
      <c r="F18" s="65">
        <v>176</v>
      </c>
      <c r="G18" s="64">
        <f t="shared" si="0"/>
        <v>184</v>
      </c>
      <c r="H18" s="128">
        <f>G18/G30</f>
        <v>5.890639006274811E-3</v>
      </c>
    </row>
    <row r="19" spans="1:8" ht="15" customHeight="1" x14ac:dyDescent="0.2">
      <c r="A19" s="285">
        <v>13</v>
      </c>
      <c r="B19" s="286" t="s">
        <v>82</v>
      </c>
      <c r="C19" s="275">
        <v>0</v>
      </c>
      <c r="D19" s="64">
        <v>1</v>
      </c>
      <c r="E19" s="65">
        <v>1</v>
      </c>
      <c r="F19" s="65">
        <v>726</v>
      </c>
      <c r="G19" s="64">
        <f t="shared" si="0"/>
        <v>728</v>
      </c>
      <c r="H19" s="128">
        <f>G19/G30</f>
        <v>2.3306441285695992E-2</v>
      </c>
    </row>
    <row r="20" spans="1:8" ht="15" customHeight="1" x14ac:dyDescent="0.2">
      <c r="A20" s="285">
        <v>14</v>
      </c>
      <c r="B20" s="286" t="s">
        <v>83</v>
      </c>
      <c r="C20" s="275">
        <v>0</v>
      </c>
      <c r="D20" s="64">
        <v>60</v>
      </c>
      <c r="E20" s="65">
        <v>35</v>
      </c>
      <c r="F20" s="65">
        <f>722+1</f>
        <v>723</v>
      </c>
      <c r="G20" s="64">
        <f t="shared" si="0"/>
        <v>818</v>
      </c>
      <c r="H20" s="128">
        <f>G20/G30</f>
        <v>2.6187732103982585E-2</v>
      </c>
    </row>
    <row r="21" spans="1:8" ht="15" customHeight="1" x14ac:dyDescent="0.2">
      <c r="A21" s="287">
        <v>15</v>
      </c>
      <c r="B21" s="286" t="s">
        <v>84</v>
      </c>
      <c r="C21" s="275">
        <v>0</v>
      </c>
      <c r="D21" s="64">
        <v>17</v>
      </c>
      <c r="E21" s="65">
        <v>1</v>
      </c>
      <c r="F21" s="65">
        <v>2523</v>
      </c>
      <c r="G21" s="64">
        <f t="shared" si="0"/>
        <v>2541</v>
      </c>
      <c r="H21" s="128">
        <f>G21/G30</f>
        <v>8.134844410295812E-2</v>
      </c>
    </row>
    <row r="22" spans="1:8" ht="15" customHeight="1" x14ac:dyDescent="0.2">
      <c r="A22" s="285">
        <v>16</v>
      </c>
      <c r="B22" s="286" t="s">
        <v>85</v>
      </c>
      <c r="C22" s="275">
        <v>0</v>
      </c>
      <c r="D22" s="64">
        <v>9</v>
      </c>
      <c r="E22" s="65">
        <v>3</v>
      </c>
      <c r="F22" s="65">
        <v>356</v>
      </c>
      <c r="G22" s="64">
        <f t="shared" si="0"/>
        <v>368</v>
      </c>
      <c r="H22" s="128">
        <f>G22/G30</f>
        <v>1.1781278012549622E-2</v>
      </c>
    </row>
    <row r="23" spans="1:8" ht="15" customHeight="1" x14ac:dyDescent="0.2">
      <c r="A23" s="287">
        <v>17</v>
      </c>
      <c r="B23" s="286" t="s">
        <v>86</v>
      </c>
      <c r="C23" s="275">
        <v>0</v>
      </c>
      <c r="D23" s="64">
        <v>1</v>
      </c>
      <c r="E23" s="65">
        <v>2</v>
      </c>
      <c r="F23" s="65">
        <v>307</v>
      </c>
      <c r="G23" s="64">
        <f t="shared" si="0"/>
        <v>310</v>
      </c>
      <c r="H23" s="128">
        <f>G23/G30</f>
        <v>9.9244461518760412E-3</v>
      </c>
    </row>
    <row r="24" spans="1:8" ht="15" customHeight="1" x14ac:dyDescent="0.2">
      <c r="A24" s="285">
        <v>18</v>
      </c>
      <c r="B24" s="288" t="s">
        <v>87</v>
      </c>
      <c r="C24" s="275">
        <v>0</v>
      </c>
      <c r="D24" s="64">
        <v>55</v>
      </c>
      <c r="E24" s="65">
        <v>14</v>
      </c>
      <c r="F24" s="65">
        <f>411+1</f>
        <v>412</v>
      </c>
      <c r="G24" s="64">
        <f t="shared" si="0"/>
        <v>481</v>
      </c>
      <c r="H24" s="128">
        <f>G24/G30</f>
        <v>1.5398898706620565E-2</v>
      </c>
    </row>
    <row r="25" spans="1:8" ht="15" customHeight="1" x14ac:dyDescent="0.2">
      <c r="A25" s="285">
        <v>19</v>
      </c>
      <c r="B25" s="288" t="s">
        <v>88</v>
      </c>
      <c r="C25" s="275">
        <v>0</v>
      </c>
      <c r="D25" s="64">
        <v>17</v>
      </c>
      <c r="E25" s="65">
        <v>30</v>
      </c>
      <c r="F25" s="65">
        <v>421</v>
      </c>
      <c r="G25" s="64">
        <f t="shared" si="0"/>
        <v>468</v>
      </c>
      <c r="H25" s="128">
        <f>G25/G30</f>
        <v>1.4982712255090281E-2</v>
      </c>
    </row>
    <row r="26" spans="1:8" ht="36.75" customHeight="1" x14ac:dyDescent="0.2">
      <c r="A26" s="287">
        <v>20</v>
      </c>
      <c r="B26" s="288" t="s">
        <v>89</v>
      </c>
      <c r="C26" s="275">
        <v>0</v>
      </c>
      <c r="D26" s="64">
        <v>0</v>
      </c>
      <c r="E26" s="65">
        <v>0</v>
      </c>
      <c r="F26" s="65">
        <v>39</v>
      </c>
      <c r="G26" s="64">
        <f t="shared" si="0"/>
        <v>39</v>
      </c>
      <c r="H26" s="128">
        <f>G26/G30</f>
        <v>1.2485593545908567E-3</v>
      </c>
    </row>
    <row r="27" spans="1:8" ht="15" customHeight="1" x14ac:dyDescent="0.2">
      <c r="A27" s="285">
        <v>21</v>
      </c>
      <c r="B27" s="288" t="s">
        <v>90</v>
      </c>
      <c r="C27" s="275">
        <v>0</v>
      </c>
      <c r="D27" s="64">
        <v>0</v>
      </c>
      <c r="E27" s="65">
        <v>0</v>
      </c>
      <c r="F27" s="65">
        <v>13</v>
      </c>
      <c r="G27" s="64">
        <f t="shared" si="0"/>
        <v>13</v>
      </c>
      <c r="H27" s="128">
        <f>G27/G30</f>
        <v>4.1618645153028558E-4</v>
      </c>
    </row>
    <row r="28" spans="1:8" ht="15" customHeight="1" x14ac:dyDescent="0.2">
      <c r="A28" s="285">
        <v>22</v>
      </c>
      <c r="B28" s="289" t="s">
        <v>91</v>
      </c>
      <c r="C28" s="275">
        <v>0</v>
      </c>
      <c r="D28" s="64">
        <v>4</v>
      </c>
      <c r="E28" s="65">
        <v>18</v>
      </c>
      <c r="F28" s="65">
        <f>1821+11</f>
        <v>1832</v>
      </c>
      <c r="G28" s="64">
        <f t="shared" si="0"/>
        <v>1854</v>
      </c>
      <c r="H28" s="128">
        <f>G28/G30</f>
        <v>5.9354590856703804E-2</v>
      </c>
    </row>
    <row r="29" spans="1:8" ht="15" customHeight="1" x14ac:dyDescent="0.2">
      <c r="A29" s="285">
        <v>23</v>
      </c>
      <c r="B29" s="289" t="s">
        <v>92</v>
      </c>
      <c r="C29" s="275">
        <v>0</v>
      </c>
      <c r="D29" s="64">
        <v>0</v>
      </c>
      <c r="E29" s="65">
        <v>0</v>
      </c>
      <c r="F29" s="65">
        <v>1</v>
      </c>
      <c r="G29" s="64">
        <f t="shared" si="0"/>
        <v>1</v>
      </c>
      <c r="H29" s="128">
        <f>G29/G30</f>
        <v>3.2014342425406581E-5</v>
      </c>
    </row>
    <row r="30" spans="1:8" ht="15" customHeight="1" thickBot="1" x14ac:dyDescent="0.25">
      <c r="A30" s="290"/>
      <c r="B30" s="291" t="s">
        <v>6</v>
      </c>
      <c r="C30" s="277">
        <f>SUM(C7:C29)</f>
        <v>59</v>
      </c>
      <c r="D30" s="277">
        <f>SUM(D7:D29)</f>
        <v>4754</v>
      </c>
      <c r="E30" s="277">
        <f>SUM(E7:E29)</f>
        <v>4899</v>
      </c>
      <c r="F30" s="277">
        <f>SUM(F7:F29)</f>
        <v>21524</v>
      </c>
      <c r="G30" s="277">
        <f>SUM(G7:G29)</f>
        <v>31236</v>
      </c>
      <c r="H30" s="278">
        <f>G30/G30</f>
        <v>1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1" t="s">
        <v>129</v>
      </c>
      <c r="B32" s="31"/>
      <c r="C32" s="31"/>
      <c r="D32" s="31"/>
      <c r="E32" s="31"/>
      <c r="F32" s="31"/>
      <c r="G32" s="78" t="s">
        <v>12</v>
      </c>
      <c r="H32" s="31"/>
    </row>
    <row r="33" spans="1:8" x14ac:dyDescent="0.2">
      <c r="A33" s="406">
        <v>42081</v>
      </c>
      <c r="B33" s="406"/>
      <c r="C33" s="31"/>
      <c r="D33" s="31"/>
      <c r="E33" s="31"/>
      <c r="F33" s="31"/>
      <c r="G33" s="78" t="s">
        <v>93</v>
      </c>
      <c r="H33" s="31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40" sqref="F40"/>
    </sheetView>
  </sheetViews>
  <sheetFormatPr defaultRowHeight="12.75" x14ac:dyDescent="0.2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</cols>
  <sheetData>
    <row r="1" spans="1:8" x14ac:dyDescent="0.2">
      <c r="A1" s="126" t="s">
        <v>108</v>
      </c>
    </row>
    <row r="2" spans="1:8" ht="27" customHeight="1" x14ac:dyDescent="0.2">
      <c r="A2" s="402" t="s">
        <v>140</v>
      </c>
      <c r="B2" s="402"/>
      <c r="C2" s="402"/>
      <c r="D2" s="402"/>
      <c r="E2" s="402"/>
      <c r="F2" s="402"/>
      <c r="G2" s="402"/>
      <c r="H2" s="402"/>
    </row>
    <row r="3" spans="1:8" ht="9" customHeight="1" thickBot="1" x14ac:dyDescent="0.3">
      <c r="A3" s="401"/>
      <c r="B3" s="401"/>
      <c r="C3" s="401"/>
    </row>
    <row r="4" spans="1:8" ht="15" customHeight="1" x14ac:dyDescent="0.2">
      <c r="A4" s="279"/>
      <c r="B4" s="280"/>
      <c r="C4" s="404" t="s">
        <v>62</v>
      </c>
      <c r="D4" s="404"/>
      <c r="E4" s="404"/>
      <c r="F4" s="404"/>
      <c r="G4" s="404"/>
      <c r="H4" s="409" t="s">
        <v>96</v>
      </c>
    </row>
    <row r="5" spans="1:8" ht="15" customHeight="1" x14ac:dyDescent="0.2">
      <c r="A5" s="281" t="s">
        <v>63</v>
      </c>
      <c r="B5" s="282" t="s">
        <v>64</v>
      </c>
      <c r="C5" s="407" t="s">
        <v>65</v>
      </c>
      <c r="D5" s="407"/>
      <c r="E5" s="408" t="s">
        <v>66</v>
      </c>
      <c r="F5" s="408"/>
      <c r="G5" s="375" t="s">
        <v>6</v>
      </c>
      <c r="H5" s="410"/>
    </row>
    <row r="6" spans="1:8" ht="15" customHeight="1" x14ac:dyDescent="0.2">
      <c r="A6" s="213"/>
      <c r="B6" s="214"/>
      <c r="C6" s="283" t="s">
        <v>67</v>
      </c>
      <c r="D6" s="284" t="s">
        <v>68</v>
      </c>
      <c r="E6" s="284" t="s">
        <v>68</v>
      </c>
      <c r="F6" s="284" t="s">
        <v>69</v>
      </c>
      <c r="G6" s="375"/>
      <c r="H6" s="410"/>
    </row>
    <row r="7" spans="1:8" ht="15" customHeight="1" x14ac:dyDescent="0.2">
      <c r="A7" s="285">
        <v>1</v>
      </c>
      <c r="B7" s="286" t="s">
        <v>70</v>
      </c>
      <c r="C7" s="275">
        <v>0</v>
      </c>
      <c r="D7" s="275">
        <v>0</v>
      </c>
      <c r="E7" s="65">
        <v>1</v>
      </c>
      <c r="F7" s="65">
        <v>143</v>
      </c>
      <c r="G7" s="64">
        <f>C7+D7+E7+F7</f>
        <v>144</v>
      </c>
      <c r="H7" s="84">
        <f>G7/G30</f>
        <v>4.6601941747572819E-3</v>
      </c>
    </row>
    <row r="8" spans="1:8" ht="15" customHeight="1" x14ac:dyDescent="0.2">
      <c r="A8" s="285">
        <v>2</v>
      </c>
      <c r="B8" s="286" t="s">
        <v>71</v>
      </c>
      <c r="C8" s="275">
        <v>0</v>
      </c>
      <c r="D8" s="276">
        <v>0</v>
      </c>
      <c r="E8" s="65">
        <v>0</v>
      </c>
      <c r="F8" s="65">
        <v>25</v>
      </c>
      <c r="G8" s="64">
        <f t="shared" ref="G8:G29" si="0">C8+D8+E8+F8</f>
        <v>25</v>
      </c>
      <c r="H8" s="84">
        <f>G8/G30</f>
        <v>8.090614886731392E-4</v>
      </c>
    </row>
    <row r="9" spans="1:8" ht="15" customHeight="1" x14ac:dyDescent="0.2">
      <c r="A9" s="285">
        <v>3</v>
      </c>
      <c r="B9" s="286" t="s">
        <v>72</v>
      </c>
      <c r="C9" s="275">
        <v>54</v>
      </c>
      <c r="D9" s="275">
        <v>0</v>
      </c>
      <c r="E9" s="65">
        <v>3</v>
      </c>
      <c r="F9" s="65">
        <f>1626+2</f>
        <v>1628</v>
      </c>
      <c r="G9" s="64">
        <f t="shared" si="0"/>
        <v>1685</v>
      </c>
      <c r="H9" s="84">
        <f>G9/G30</f>
        <v>5.4530744336569577E-2</v>
      </c>
    </row>
    <row r="10" spans="1:8" ht="15.75" customHeight="1" x14ac:dyDescent="0.2">
      <c r="A10" s="285">
        <v>4</v>
      </c>
      <c r="B10" s="286" t="s">
        <v>73</v>
      </c>
      <c r="C10" s="276">
        <v>0</v>
      </c>
      <c r="D10" s="276">
        <v>0</v>
      </c>
      <c r="E10" s="68">
        <v>0</v>
      </c>
      <c r="F10" s="60">
        <v>11</v>
      </c>
      <c r="G10" s="64">
        <f t="shared" si="0"/>
        <v>11</v>
      </c>
      <c r="H10" s="84">
        <f>G10/G30</f>
        <v>3.5598705501618122E-4</v>
      </c>
    </row>
    <row r="11" spans="1:8" ht="24.75" customHeight="1" x14ac:dyDescent="0.2">
      <c r="A11" s="285">
        <v>5</v>
      </c>
      <c r="B11" s="286" t="s">
        <v>74</v>
      </c>
      <c r="C11" s="275">
        <v>0</v>
      </c>
      <c r="D11" s="276">
        <v>0</v>
      </c>
      <c r="E11" s="65">
        <v>0</v>
      </c>
      <c r="F11" s="65">
        <v>15</v>
      </c>
      <c r="G11" s="64">
        <f t="shared" si="0"/>
        <v>15</v>
      </c>
      <c r="H11" s="84">
        <f>G11/G30</f>
        <v>4.8543689320388347E-4</v>
      </c>
    </row>
    <row r="12" spans="1:8" ht="15" customHeight="1" x14ac:dyDescent="0.2">
      <c r="A12" s="285">
        <v>6</v>
      </c>
      <c r="B12" s="292" t="s">
        <v>75</v>
      </c>
      <c r="C12" s="276">
        <v>0</v>
      </c>
      <c r="D12" s="276">
        <v>2</v>
      </c>
      <c r="E12" s="68">
        <v>14</v>
      </c>
      <c r="F12" s="68">
        <v>2093</v>
      </c>
      <c r="G12" s="67">
        <f t="shared" si="0"/>
        <v>2109</v>
      </c>
      <c r="H12" s="85">
        <f>G12/G30</f>
        <v>6.8252427184466016E-2</v>
      </c>
    </row>
    <row r="13" spans="1:8" ht="25.5" customHeight="1" x14ac:dyDescent="0.2">
      <c r="A13" s="285">
        <v>7</v>
      </c>
      <c r="B13" s="292" t="s">
        <v>76</v>
      </c>
      <c r="C13" s="276">
        <v>0</v>
      </c>
      <c r="D13" s="276">
        <v>243</v>
      </c>
      <c r="E13" s="68">
        <v>33</v>
      </c>
      <c r="F13" s="68">
        <f>3747+6</f>
        <v>3753</v>
      </c>
      <c r="G13" s="67">
        <f t="shared" si="0"/>
        <v>4029</v>
      </c>
      <c r="H13" s="85">
        <f>G13/G30</f>
        <v>0.1303883495145631</v>
      </c>
    </row>
    <row r="14" spans="1:8" ht="15" customHeight="1" x14ac:dyDescent="0.2">
      <c r="A14" s="285">
        <v>8</v>
      </c>
      <c r="B14" s="286" t="s">
        <v>77</v>
      </c>
      <c r="C14" s="276">
        <v>0</v>
      </c>
      <c r="D14" s="275">
        <v>40</v>
      </c>
      <c r="E14" s="59">
        <v>11</v>
      </c>
      <c r="F14" s="60">
        <f>1122+1</f>
        <v>1123</v>
      </c>
      <c r="G14" s="64">
        <f t="shared" si="0"/>
        <v>1174</v>
      </c>
      <c r="H14" s="84">
        <f>G14/G30</f>
        <v>3.7993527508090617E-2</v>
      </c>
    </row>
    <row r="15" spans="1:8" ht="24.75" customHeight="1" x14ac:dyDescent="0.2">
      <c r="A15" s="285">
        <v>9</v>
      </c>
      <c r="B15" s="292" t="s">
        <v>78</v>
      </c>
      <c r="C15" s="276">
        <v>0</v>
      </c>
      <c r="D15" s="275">
        <v>4323</v>
      </c>
      <c r="E15" s="68">
        <v>4609</v>
      </c>
      <c r="F15" s="68">
        <f>3972+6</f>
        <v>3978</v>
      </c>
      <c r="G15" s="67">
        <f t="shared" si="0"/>
        <v>12910</v>
      </c>
      <c r="H15" s="85">
        <f>G15/G30</f>
        <v>0.41779935275080904</v>
      </c>
    </row>
    <row r="16" spans="1:8" ht="15" customHeight="1" x14ac:dyDescent="0.2">
      <c r="A16" s="285">
        <v>10</v>
      </c>
      <c r="B16" s="286" t="s">
        <v>79</v>
      </c>
      <c r="C16" s="275">
        <v>0</v>
      </c>
      <c r="D16" s="275">
        <v>0</v>
      </c>
      <c r="E16" s="65">
        <v>1</v>
      </c>
      <c r="F16" s="65">
        <v>617</v>
      </c>
      <c r="G16" s="64">
        <f t="shared" si="0"/>
        <v>618</v>
      </c>
      <c r="H16" s="84">
        <f>G16/G30</f>
        <v>0.02</v>
      </c>
    </row>
    <row r="17" spans="1:8" ht="15" customHeight="1" x14ac:dyDescent="0.2">
      <c r="A17" s="285">
        <v>11</v>
      </c>
      <c r="B17" s="286" t="s">
        <v>80</v>
      </c>
      <c r="C17" s="275">
        <v>0</v>
      </c>
      <c r="D17" s="275">
        <v>0</v>
      </c>
      <c r="E17" s="65">
        <v>0</v>
      </c>
      <c r="F17" s="60">
        <v>576</v>
      </c>
      <c r="G17" s="64">
        <f t="shared" si="0"/>
        <v>576</v>
      </c>
      <c r="H17" s="84">
        <f>G17/G30</f>
        <v>1.8640776699029128E-2</v>
      </c>
    </row>
    <row r="18" spans="1:8" ht="15" customHeight="1" x14ac:dyDescent="0.2">
      <c r="A18" s="285">
        <v>12</v>
      </c>
      <c r="B18" s="286" t="s">
        <v>81</v>
      </c>
      <c r="C18" s="275">
        <v>0</v>
      </c>
      <c r="D18" s="275">
        <v>0</v>
      </c>
      <c r="E18" s="65">
        <v>7</v>
      </c>
      <c r="F18" s="65">
        <v>188</v>
      </c>
      <c r="G18" s="64">
        <f t="shared" si="0"/>
        <v>195</v>
      </c>
      <c r="H18" s="84">
        <f>G18/G30</f>
        <v>6.3106796116504851E-3</v>
      </c>
    </row>
    <row r="19" spans="1:8" ht="15" customHeight="1" x14ac:dyDescent="0.2">
      <c r="A19" s="285">
        <v>13</v>
      </c>
      <c r="B19" s="286" t="s">
        <v>82</v>
      </c>
      <c r="C19" s="275">
        <v>0</v>
      </c>
      <c r="D19" s="275">
        <v>1</v>
      </c>
      <c r="E19" s="65">
        <v>1</v>
      </c>
      <c r="F19" s="65">
        <f>727+1</f>
        <v>728</v>
      </c>
      <c r="G19" s="64">
        <f t="shared" si="0"/>
        <v>730</v>
      </c>
      <c r="H19" s="84">
        <f>G19/G30</f>
        <v>2.3624595469255664E-2</v>
      </c>
    </row>
    <row r="20" spans="1:8" ht="15" customHeight="1" x14ac:dyDescent="0.2">
      <c r="A20" s="285">
        <v>14</v>
      </c>
      <c r="B20" s="286" t="s">
        <v>83</v>
      </c>
      <c r="C20" s="275">
        <v>0</v>
      </c>
      <c r="D20" s="275">
        <v>59</v>
      </c>
      <c r="E20" s="65">
        <v>34</v>
      </c>
      <c r="F20" s="65">
        <f>722+1</f>
        <v>723</v>
      </c>
      <c r="G20" s="64">
        <f t="shared" si="0"/>
        <v>816</v>
      </c>
      <c r="H20" s="84">
        <f>G20/G30</f>
        <v>2.6407766990291261E-2</v>
      </c>
    </row>
    <row r="21" spans="1:8" ht="15" customHeight="1" x14ac:dyDescent="0.2">
      <c r="A21" s="287">
        <v>15</v>
      </c>
      <c r="B21" s="286" t="s">
        <v>84</v>
      </c>
      <c r="C21" s="275">
        <v>0</v>
      </c>
      <c r="D21" s="275">
        <v>17</v>
      </c>
      <c r="E21" s="65">
        <v>1</v>
      </c>
      <c r="F21" s="65">
        <v>2365</v>
      </c>
      <c r="G21" s="64">
        <f t="shared" si="0"/>
        <v>2383</v>
      </c>
      <c r="H21" s="84">
        <f>G21/G30</f>
        <v>7.711974110032363E-2</v>
      </c>
    </row>
    <row r="22" spans="1:8" ht="15" customHeight="1" x14ac:dyDescent="0.2">
      <c r="A22" s="285">
        <v>16</v>
      </c>
      <c r="B22" s="286" t="s">
        <v>85</v>
      </c>
      <c r="C22" s="275">
        <v>0</v>
      </c>
      <c r="D22" s="275">
        <v>9</v>
      </c>
      <c r="E22" s="65">
        <v>3</v>
      </c>
      <c r="F22" s="65">
        <v>328</v>
      </c>
      <c r="G22" s="64">
        <f t="shared" si="0"/>
        <v>340</v>
      </c>
      <c r="H22" s="84">
        <f>G22/G30</f>
        <v>1.1003236245954692E-2</v>
      </c>
    </row>
    <row r="23" spans="1:8" ht="24" customHeight="1" x14ac:dyDescent="0.2">
      <c r="A23" s="287">
        <v>17</v>
      </c>
      <c r="B23" s="286" t="s">
        <v>86</v>
      </c>
      <c r="C23" s="275">
        <v>0</v>
      </c>
      <c r="D23" s="275">
        <v>2</v>
      </c>
      <c r="E23" s="65">
        <v>1</v>
      </c>
      <c r="F23" s="65">
        <v>310</v>
      </c>
      <c r="G23" s="64">
        <f t="shared" si="0"/>
        <v>313</v>
      </c>
      <c r="H23" s="84">
        <f>G23/G30</f>
        <v>1.0129449838187702E-2</v>
      </c>
    </row>
    <row r="24" spans="1:8" ht="15" customHeight="1" x14ac:dyDescent="0.2">
      <c r="A24" s="285">
        <v>18</v>
      </c>
      <c r="B24" s="288" t="s">
        <v>87</v>
      </c>
      <c r="C24" s="275">
        <v>0</v>
      </c>
      <c r="D24" s="275">
        <v>57</v>
      </c>
      <c r="E24" s="65">
        <v>13</v>
      </c>
      <c r="F24" s="65">
        <f>417+1</f>
        <v>418</v>
      </c>
      <c r="G24" s="64">
        <f t="shared" si="0"/>
        <v>488</v>
      </c>
      <c r="H24" s="84">
        <f>G24/G30</f>
        <v>1.5792880258899675E-2</v>
      </c>
    </row>
    <row r="25" spans="1:8" ht="15" customHeight="1" x14ac:dyDescent="0.2">
      <c r="A25" s="285">
        <v>19</v>
      </c>
      <c r="B25" s="288" t="s">
        <v>88</v>
      </c>
      <c r="C25" s="275">
        <v>0</v>
      </c>
      <c r="D25" s="275">
        <v>22</v>
      </c>
      <c r="E25" s="65">
        <v>30</v>
      </c>
      <c r="F25" s="65">
        <v>413</v>
      </c>
      <c r="G25" s="64">
        <f t="shared" si="0"/>
        <v>465</v>
      </c>
      <c r="H25" s="84">
        <f>G25/G30</f>
        <v>1.5048543689320388E-2</v>
      </c>
    </row>
    <row r="26" spans="1:8" ht="39" customHeight="1" x14ac:dyDescent="0.2">
      <c r="A26" s="287">
        <v>20</v>
      </c>
      <c r="B26" s="288" t="s">
        <v>89</v>
      </c>
      <c r="C26" s="275">
        <v>0</v>
      </c>
      <c r="D26" s="275">
        <v>0</v>
      </c>
      <c r="E26" s="65">
        <v>0</v>
      </c>
      <c r="F26" s="65">
        <v>42</v>
      </c>
      <c r="G26" s="64">
        <f t="shared" si="0"/>
        <v>42</v>
      </c>
      <c r="H26" s="84">
        <f>G26/G30</f>
        <v>1.3592233009708738E-3</v>
      </c>
    </row>
    <row r="27" spans="1:8" ht="15" customHeight="1" x14ac:dyDescent="0.2">
      <c r="A27" s="285">
        <v>21</v>
      </c>
      <c r="B27" s="288" t="s">
        <v>90</v>
      </c>
      <c r="C27" s="275">
        <v>0</v>
      </c>
      <c r="D27" s="275">
        <v>0</v>
      </c>
      <c r="E27" s="65">
        <v>0</v>
      </c>
      <c r="F27" s="65">
        <v>11</v>
      </c>
      <c r="G27" s="64">
        <f t="shared" si="0"/>
        <v>11</v>
      </c>
      <c r="H27" s="84">
        <f>G27/G30</f>
        <v>3.5598705501618122E-4</v>
      </c>
    </row>
    <row r="28" spans="1:8" ht="15" customHeight="1" x14ac:dyDescent="0.2">
      <c r="A28" s="285">
        <v>22</v>
      </c>
      <c r="B28" s="289" t="s">
        <v>91</v>
      </c>
      <c r="C28" s="275">
        <v>0</v>
      </c>
      <c r="D28" s="275">
        <v>6</v>
      </c>
      <c r="E28" s="65">
        <v>18</v>
      </c>
      <c r="F28" s="65">
        <f>1781+15</f>
        <v>1796</v>
      </c>
      <c r="G28" s="64">
        <f t="shared" si="0"/>
        <v>1820</v>
      </c>
      <c r="H28" s="84">
        <f>G28/G30</f>
        <v>5.8899676375404532E-2</v>
      </c>
    </row>
    <row r="29" spans="1:8" ht="15" customHeight="1" x14ac:dyDescent="0.2">
      <c r="A29" s="285">
        <v>23</v>
      </c>
      <c r="B29" s="289" t="s">
        <v>92</v>
      </c>
      <c r="C29" s="275">
        <v>0</v>
      </c>
      <c r="D29" s="275">
        <v>0</v>
      </c>
      <c r="E29" s="65">
        <v>0</v>
      </c>
      <c r="F29" s="65">
        <v>1</v>
      </c>
      <c r="G29" s="64">
        <f t="shared" si="0"/>
        <v>1</v>
      </c>
      <c r="H29" s="84">
        <f>G29/G30</f>
        <v>3.2362459546925564E-5</v>
      </c>
    </row>
    <row r="30" spans="1:8" ht="15" customHeight="1" thickBot="1" x14ac:dyDescent="0.25">
      <c r="A30" s="290"/>
      <c r="B30" s="291" t="s">
        <v>6</v>
      </c>
      <c r="C30" s="277">
        <f t="shared" ref="C30:H30" si="1">SUM(C7:C29)</f>
        <v>54</v>
      </c>
      <c r="D30" s="277">
        <f t="shared" si="1"/>
        <v>4781</v>
      </c>
      <c r="E30" s="277">
        <f t="shared" si="1"/>
        <v>4780</v>
      </c>
      <c r="F30" s="277">
        <f t="shared" si="1"/>
        <v>21285</v>
      </c>
      <c r="G30" s="277">
        <f t="shared" si="1"/>
        <v>30900</v>
      </c>
      <c r="H30" s="293">
        <f t="shared" si="1"/>
        <v>0.99999999999999978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1" t="s">
        <v>129</v>
      </c>
      <c r="B32" s="31"/>
      <c r="C32" s="31"/>
      <c r="D32" s="31"/>
      <c r="E32" s="31"/>
      <c r="F32" s="78" t="s">
        <v>12</v>
      </c>
      <c r="G32" s="31"/>
    </row>
    <row r="33" spans="1:7" x14ac:dyDescent="0.2">
      <c r="A33" s="406">
        <v>42121</v>
      </c>
      <c r="B33" s="406"/>
      <c r="C33" s="31"/>
      <c r="D33" s="31"/>
      <c r="E33" s="31"/>
      <c r="F33" s="78" t="s">
        <v>93</v>
      </c>
      <c r="G33" s="31"/>
    </row>
    <row r="37" spans="1:7" x14ac:dyDescent="0.2">
      <c r="D37" s="182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G30" sqref="G30"/>
    </sheetView>
  </sheetViews>
  <sheetFormatPr defaultRowHeight="12.75" x14ac:dyDescent="0.2"/>
  <cols>
    <col min="1" max="1" width="4.85546875" customWidth="1"/>
    <col min="2" max="2" width="47.140625" customWidth="1"/>
    <col min="3" max="8" width="12.7109375" customWidth="1"/>
  </cols>
  <sheetData>
    <row r="1" spans="1:8" x14ac:dyDescent="0.2">
      <c r="A1" s="126" t="s">
        <v>109</v>
      </c>
    </row>
    <row r="2" spans="1:8" ht="28.5" customHeight="1" x14ac:dyDescent="0.2">
      <c r="A2" s="402" t="s">
        <v>139</v>
      </c>
      <c r="B2" s="402"/>
      <c r="C2" s="402"/>
      <c r="D2" s="402"/>
      <c r="E2" s="402"/>
      <c r="F2" s="402"/>
      <c r="G2" s="402"/>
      <c r="H2" s="402"/>
    </row>
    <row r="3" spans="1:8" ht="11.25" customHeight="1" thickBot="1" x14ac:dyDescent="0.3">
      <c r="A3" s="401"/>
      <c r="B3" s="401"/>
      <c r="C3" s="401"/>
    </row>
    <row r="4" spans="1:8" ht="15" customHeight="1" x14ac:dyDescent="0.2">
      <c r="A4" s="279"/>
      <c r="B4" s="280"/>
      <c r="C4" s="404" t="s">
        <v>62</v>
      </c>
      <c r="D4" s="404"/>
      <c r="E4" s="404"/>
      <c r="F4" s="404"/>
      <c r="G4" s="404"/>
      <c r="H4" s="409" t="s">
        <v>96</v>
      </c>
    </row>
    <row r="5" spans="1:8" ht="15" customHeight="1" x14ac:dyDescent="0.2">
      <c r="A5" s="281" t="s">
        <v>63</v>
      </c>
      <c r="B5" s="282" t="s">
        <v>64</v>
      </c>
      <c r="C5" s="407" t="s">
        <v>65</v>
      </c>
      <c r="D5" s="407"/>
      <c r="E5" s="408" t="s">
        <v>66</v>
      </c>
      <c r="F5" s="408"/>
      <c r="G5" s="375" t="s">
        <v>6</v>
      </c>
      <c r="H5" s="410"/>
    </row>
    <row r="6" spans="1:8" ht="25.5" customHeight="1" x14ac:dyDescent="0.2">
      <c r="A6" s="213"/>
      <c r="B6" s="214"/>
      <c r="C6" s="284" t="s">
        <v>67</v>
      </c>
      <c r="D6" s="284" t="s">
        <v>68</v>
      </c>
      <c r="E6" s="284" t="s">
        <v>68</v>
      </c>
      <c r="F6" s="284" t="s">
        <v>69</v>
      </c>
      <c r="G6" s="375"/>
      <c r="H6" s="410"/>
    </row>
    <row r="7" spans="1:8" ht="15" customHeight="1" x14ac:dyDescent="0.2">
      <c r="A7" s="285">
        <v>1</v>
      </c>
      <c r="B7" s="286" t="s">
        <v>70</v>
      </c>
      <c r="C7" s="275">
        <v>0</v>
      </c>
      <c r="D7" s="275">
        <v>0</v>
      </c>
      <c r="E7" s="65">
        <v>1</v>
      </c>
      <c r="F7" s="65">
        <v>139</v>
      </c>
      <c r="G7" s="64">
        <f>C7+D7+E7+F7</f>
        <v>140</v>
      </c>
      <c r="H7" s="84">
        <f>G7/G30</f>
        <v>4.6183281652041963E-3</v>
      </c>
    </row>
    <row r="8" spans="1:8" ht="15" customHeight="1" x14ac:dyDescent="0.2">
      <c r="A8" s="285">
        <v>2</v>
      </c>
      <c r="B8" s="286" t="s">
        <v>71</v>
      </c>
      <c r="C8" s="275">
        <v>0</v>
      </c>
      <c r="D8" s="275">
        <v>0</v>
      </c>
      <c r="E8" s="65">
        <v>0</v>
      </c>
      <c r="F8" s="65">
        <v>27</v>
      </c>
      <c r="G8" s="64">
        <f t="shared" ref="G8:G29" si="0">C8+D8+E8+F8</f>
        <v>27</v>
      </c>
      <c r="H8" s="84">
        <f>G8/G30</f>
        <v>8.9067757471795214E-4</v>
      </c>
    </row>
    <row r="9" spans="1:8" ht="15" customHeight="1" x14ac:dyDescent="0.2">
      <c r="A9" s="285">
        <v>3</v>
      </c>
      <c r="B9" s="286" t="s">
        <v>72</v>
      </c>
      <c r="C9" s="275">
        <v>48</v>
      </c>
      <c r="D9" s="64">
        <v>0</v>
      </c>
      <c r="E9" s="65">
        <v>3</v>
      </c>
      <c r="F9" s="65">
        <v>1567</v>
      </c>
      <c r="G9" s="64">
        <f t="shared" si="0"/>
        <v>1618</v>
      </c>
      <c r="H9" s="84">
        <f>G9/G30</f>
        <v>5.3374678366431352E-2</v>
      </c>
    </row>
    <row r="10" spans="1:8" ht="14.25" customHeight="1" x14ac:dyDescent="0.2">
      <c r="A10" s="285">
        <v>4</v>
      </c>
      <c r="B10" s="286" t="s">
        <v>73</v>
      </c>
      <c r="C10" s="276">
        <v>0</v>
      </c>
      <c r="D10" s="276">
        <v>0</v>
      </c>
      <c r="E10" s="68">
        <v>0</v>
      </c>
      <c r="F10" s="60">
        <v>12</v>
      </c>
      <c r="G10" s="64">
        <f t="shared" si="0"/>
        <v>12</v>
      </c>
      <c r="H10" s="84">
        <f>G10/G30</f>
        <v>3.9585669987464537E-4</v>
      </c>
    </row>
    <row r="11" spans="1:8" ht="27.75" customHeight="1" x14ac:dyDescent="0.2">
      <c r="A11" s="285">
        <v>5</v>
      </c>
      <c r="B11" s="286" t="s">
        <v>74</v>
      </c>
      <c r="C11" s="275">
        <v>0</v>
      </c>
      <c r="D11" s="275">
        <v>0</v>
      </c>
      <c r="E11" s="65">
        <v>0</v>
      </c>
      <c r="F11" s="65">
        <v>13</v>
      </c>
      <c r="G11" s="64">
        <f t="shared" si="0"/>
        <v>13</v>
      </c>
      <c r="H11" s="84">
        <f>G11/G30</f>
        <v>4.2884475819753248E-4</v>
      </c>
    </row>
    <row r="12" spans="1:8" ht="15" customHeight="1" x14ac:dyDescent="0.2">
      <c r="A12" s="285">
        <v>6</v>
      </c>
      <c r="B12" s="292" t="s">
        <v>75</v>
      </c>
      <c r="C12" s="276">
        <v>0</v>
      </c>
      <c r="D12" s="276">
        <v>2</v>
      </c>
      <c r="E12" s="68">
        <v>12</v>
      </c>
      <c r="F12" s="68">
        <v>2075</v>
      </c>
      <c r="G12" s="67">
        <f t="shared" si="0"/>
        <v>2089</v>
      </c>
      <c r="H12" s="85">
        <f>G12/G30</f>
        <v>6.8912053836511181E-2</v>
      </c>
    </row>
    <row r="13" spans="1:8" ht="27.75" customHeight="1" x14ac:dyDescent="0.2">
      <c r="A13" s="285">
        <v>7</v>
      </c>
      <c r="B13" s="292" t="s">
        <v>76</v>
      </c>
      <c r="C13" s="276">
        <v>0</v>
      </c>
      <c r="D13" s="276">
        <v>236</v>
      </c>
      <c r="E13" s="68">
        <v>32</v>
      </c>
      <c r="F13" s="68">
        <v>3826</v>
      </c>
      <c r="G13" s="67">
        <f t="shared" si="0"/>
        <v>4094</v>
      </c>
      <c r="H13" s="85">
        <f>G13/G30</f>
        <v>0.13505311077389984</v>
      </c>
    </row>
    <row r="14" spans="1:8" ht="15" customHeight="1" x14ac:dyDescent="0.2">
      <c r="A14" s="285">
        <v>8</v>
      </c>
      <c r="B14" s="286" t="s">
        <v>77</v>
      </c>
      <c r="C14" s="276">
        <v>0</v>
      </c>
      <c r="D14" s="276">
        <v>39</v>
      </c>
      <c r="E14" s="59">
        <v>11</v>
      </c>
      <c r="F14" s="60">
        <v>1465</v>
      </c>
      <c r="G14" s="64">
        <f t="shared" si="0"/>
        <v>1515</v>
      </c>
      <c r="H14" s="84">
        <f>G14/G30</f>
        <v>4.9976908359173976E-2</v>
      </c>
    </row>
    <row r="15" spans="1:8" ht="25.5" customHeight="1" x14ac:dyDescent="0.2">
      <c r="A15" s="285">
        <v>9</v>
      </c>
      <c r="B15" s="292" t="s">
        <v>78</v>
      </c>
      <c r="C15" s="276">
        <v>0</v>
      </c>
      <c r="D15" s="276">
        <v>3806</v>
      </c>
      <c r="E15" s="68">
        <v>4444</v>
      </c>
      <c r="F15" s="68">
        <f>3883+8</f>
        <v>3891</v>
      </c>
      <c r="G15" s="67">
        <f t="shared" si="0"/>
        <v>12141</v>
      </c>
      <c r="H15" s="85">
        <f>G15/G30</f>
        <v>0.40050801609817244</v>
      </c>
    </row>
    <row r="16" spans="1:8" ht="15" customHeight="1" x14ac:dyDescent="0.2">
      <c r="A16" s="285">
        <v>10</v>
      </c>
      <c r="B16" s="286" t="s">
        <v>79</v>
      </c>
      <c r="C16" s="275">
        <v>0</v>
      </c>
      <c r="D16" s="275">
        <v>0</v>
      </c>
      <c r="E16" s="65">
        <v>1</v>
      </c>
      <c r="F16" s="65">
        <v>596</v>
      </c>
      <c r="G16" s="64">
        <f t="shared" si="0"/>
        <v>597</v>
      </c>
      <c r="H16" s="84">
        <f>G16/G30</f>
        <v>1.9693870818763608E-2</v>
      </c>
    </row>
    <row r="17" spans="1:8" ht="15" customHeight="1" x14ac:dyDescent="0.2">
      <c r="A17" s="285">
        <v>11</v>
      </c>
      <c r="B17" s="286" t="s">
        <v>80</v>
      </c>
      <c r="C17" s="275">
        <v>0</v>
      </c>
      <c r="D17" s="275">
        <v>1</v>
      </c>
      <c r="E17" s="65">
        <v>0</v>
      </c>
      <c r="F17" s="60">
        <v>561</v>
      </c>
      <c r="G17" s="64">
        <f t="shared" si="0"/>
        <v>562</v>
      </c>
      <c r="H17" s="84">
        <f>G17/G30</f>
        <v>1.8539288777462557E-2</v>
      </c>
    </row>
    <row r="18" spans="1:8" ht="15" customHeight="1" x14ac:dyDescent="0.2">
      <c r="A18" s="285">
        <v>12</v>
      </c>
      <c r="B18" s="286" t="s">
        <v>81</v>
      </c>
      <c r="C18" s="275">
        <v>0</v>
      </c>
      <c r="D18" s="275">
        <v>0</v>
      </c>
      <c r="E18" s="65">
        <v>4</v>
      </c>
      <c r="F18" s="65">
        <v>153</v>
      </c>
      <c r="G18" s="64">
        <f t="shared" si="0"/>
        <v>157</v>
      </c>
      <c r="H18" s="84">
        <f>G18/G30</f>
        <v>5.179125156693277E-3</v>
      </c>
    </row>
    <row r="19" spans="1:8" ht="15" customHeight="1" x14ac:dyDescent="0.2">
      <c r="A19" s="285">
        <v>13</v>
      </c>
      <c r="B19" s="286" t="s">
        <v>82</v>
      </c>
      <c r="C19" s="275">
        <v>0</v>
      </c>
      <c r="D19" s="275">
        <v>1</v>
      </c>
      <c r="E19" s="65">
        <v>1</v>
      </c>
      <c r="F19" s="65">
        <v>715</v>
      </c>
      <c r="G19" s="64">
        <f t="shared" si="0"/>
        <v>717</v>
      </c>
      <c r="H19" s="84">
        <f>G19/G30</f>
        <v>2.3652437817510061E-2</v>
      </c>
    </row>
    <row r="20" spans="1:8" ht="15" customHeight="1" x14ac:dyDescent="0.2">
      <c r="A20" s="285">
        <v>14</v>
      </c>
      <c r="B20" s="286" t="s">
        <v>83</v>
      </c>
      <c r="C20" s="275">
        <v>0</v>
      </c>
      <c r="D20" s="275">
        <v>58</v>
      </c>
      <c r="E20" s="65">
        <v>34</v>
      </c>
      <c r="F20" s="65">
        <v>700</v>
      </c>
      <c r="G20" s="64">
        <f t="shared" si="0"/>
        <v>792</v>
      </c>
      <c r="H20" s="84">
        <f>G20/G30</f>
        <v>2.6126542191726596E-2</v>
      </c>
    </row>
    <row r="21" spans="1:8" ht="15" customHeight="1" x14ac:dyDescent="0.2">
      <c r="A21" s="287">
        <v>15</v>
      </c>
      <c r="B21" s="286" t="s">
        <v>84</v>
      </c>
      <c r="C21" s="275">
        <v>0</v>
      </c>
      <c r="D21" s="275">
        <v>17</v>
      </c>
      <c r="E21" s="65">
        <v>1</v>
      </c>
      <c r="F21" s="65">
        <v>2385</v>
      </c>
      <c r="G21" s="64">
        <f t="shared" si="0"/>
        <v>2403</v>
      </c>
      <c r="H21" s="84">
        <f>G21/G30</f>
        <v>7.9270304149897733E-2</v>
      </c>
    </row>
    <row r="22" spans="1:8" ht="15" customHeight="1" x14ac:dyDescent="0.2">
      <c r="A22" s="285">
        <v>16</v>
      </c>
      <c r="B22" s="286" t="s">
        <v>85</v>
      </c>
      <c r="C22" s="275">
        <v>0</v>
      </c>
      <c r="D22" s="275">
        <v>9</v>
      </c>
      <c r="E22" s="65">
        <v>3</v>
      </c>
      <c r="F22" s="65">
        <v>310</v>
      </c>
      <c r="G22" s="64">
        <f t="shared" si="0"/>
        <v>322</v>
      </c>
      <c r="H22" s="84">
        <f>G22/G30</f>
        <v>1.0622154779969651E-2</v>
      </c>
    </row>
    <row r="23" spans="1:8" ht="24.75" customHeight="1" x14ac:dyDescent="0.2">
      <c r="A23" s="287">
        <v>17</v>
      </c>
      <c r="B23" s="286" t="s">
        <v>86</v>
      </c>
      <c r="C23" s="275">
        <v>0</v>
      </c>
      <c r="D23" s="275">
        <v>2</v>
      </c>
      <c r="E23" s="65">
        <v>1</v>
      </c>
      <c r="F23" s="65">
        <v>313</v>
      </c>
      <c r="G23" s="64">
        <f t="shared" si="0"/>
        <v>316</v>
      </c>
      <c r="H23" s="84">
        <f>G23/G30</f>
        <v>1.0424226430032327E-2</v>
      </c>
    </row>
    <row r="24" spans="1:8" ht="15.75" customHeight="1" x14ac:dyDescent="0.2">
      <c r="A24" s="285">
        <v>18</v>
      </c>
      <c r="B24" s="288" t="s">
        <v>87</v>
      </c>
      <c r="C24" s="275">
        <v>0</v>
      </c>
      <c r="D24" s="275">
        <v>55</v>
      </c>
      <c r="E24" s="65">
        <v>14</v>
      </c>
      <c r="F24" s="65">
        <v>404</v>
      </c>
      <c r="G24" s="64">
        <f t="shared" si="0"/>
        <v>473</v>
      </c>
      <c r="H24" s="84">
        <f>G24/G30</f>
        <v>1.5603351586725605E-2</v>
      </c>
    </row>
    <row r="25" spans="1:8" ht="13.5" customHeight="1" x14ac:dyDescent="0.2">
      <c r="A25" s="285">
        <v>19</v>
      </c>
      <c r="B25" s="288" t="s">
        <v>88</v>
      </c>
      <c r="C25" s="275">
        <v>0</v>
      </c>
      <c r="D25" s="275">
        <v>12</v>
      </c>
      <c r="E25" s="65">
        <v>30</v>
      </c>
      <c r="F25" s="65">
        <v>400</v>
      </c>
      <c r="G25" s="64">
        <f t="shared" si="0"/>
        <v>442</v>
      </c>
      <c r="H25" s="84">
        <f>G25/G30</f>
        <v>1.4580721778716105E-2</v>
      </c>
    </row>
    <row r="26" spans="1:8" ht="36.75" customHeight="1" x14ac:dyDescent="0.2">
      <c r="A26" s="287">
        <v>20</v>
      </c>
      <c r="B26" s="288" t="s">
        <v>89</v>
      </c>
      <c r="C26" s="275">
        <v>0</v>
      </c>
      <c r="D26" s="275">
        <v>0</v>
      </c>
      <c r="E26" s="65">
        <v>0</v>
      </c>
      <c r="F26" s="65">
        <v>43</v>
      </c>
      <c r="G26" s="64">
        <f t="shared" si="0"/>
        <v>43</v>
      </c>
      <c r="H26" s="84">
        <f>G26/G30</f>
        <v>1.418486507884146E-3</v>
      </c>
    </row>
    <row r="27" spans="1:8" ht="15.75" customHeight="1" x14ac:dyDescent="0.2">
      <c r="A27" s="285">
        <v>21</v>
      </c>
      <c r="B27" s="288" t="s">
        <v>90</v>
      </c>
      <c r="C27" s="275">
        <v>0</v>
      </c>
      <c r="D27" s="275">
        <v>0</v>
      </c>
      <c r="E27" s="65">
        <v>0</v>
      </c>
      <c r="F27" s="65">
        <v>20</v>
      </c>
      <c r="G27" s="64">
        <f t="shared" si="0"/>
        <v>20</v>
      </c>
      <c r="H27" s="84">
        <f>G27/G30</f>
        <v>6.5976116645774226E-4</v>
      </c>
    </row>
    <row r="28" spans="1:8" ht="15.75" customHeight="1" x14ac:dyDescent="0.2">
      <c r="A28" s="285">
        <v>22</v>
      </c>
      <c r="B28" s="289" t="s">
        <v>91</v>
      </c>
      <c r="C28" s="275">
        <v>0</v>
      </c>
      <c r="D28" s="275">
        <v>6</v>
      </c>
      <c r="E28" s="65">
        <v>18</v>
      </c>
      <c r="F28" s="65">
        <f>1773+14</f>
        <v>1787</v>
      </c>
      <c r="G28" s="64">
        <f t="shared" si="0"/>
        <v>1811</v>
      </c>
      <c r="H28" s="84">
        <f>G28/G30</f>
        <v>5.9741373622748568E-2</v>
      </c>
    </row>
    <row r="29" spans="1:8" ht="15.75" customHeight="1" x14ac:dyDescent="0.2">
      <c r="A29" s="285">
        <v>23</v>
      </c>
      <c r="B29" s="289" t="s">
        <v>92</v>
      </c>
      <c r="C29" s="275">
        <v>0</v>
      </c>
      <c r="D29" s="275">
        <v>0</v>
      </c>
      <c r="E29" s="65">
        <v>0</v>
      </c>
      <c r="F29" s="65">
        <v>10</v>
      </c>
      <c r="G29" s="64">
        <f t="shared" si="0"/>
        <v>10</v>
      </c>
      <c r="H29" s="84">
        <f>G29/G30</f>
        <v>3.2988058322887113E-4</v>
      </c>
    </row>
    <row r="30" spans="1:8" ht="12.75" customHeight="1" thickBot="1" x14ac:dyDescent="0.25">
      <c r="A30" s="290"/>
      <c r="B30" s="291" t="s">
        <v>6</v>
      </c>
      <c r="C30" s="277">
        <f t="shared" ref="C30:H30" si="1">SUM(C7:C29)</f>
        <v>48</v>
      </c>
      <c r="D30" s="277">
        <f t="shared" si="1"/>
        <v>4244</v>
      </c>
      <c r="E30" s="277">
        <f t="shared" si="1"/>
        <v>4610</v>
      </c>
      <c r="F30" s="277">
        <f t="shared" si="1"/>
        <v>21412</v>
      </c>
      <c r="G30" s="277">
        <f t="shared" si="1"/>
        <v>30314</v>
      </c>
      <c r="H30" s="293">
        <f t="shared" si="1"/>
        <v>1</v>
      </c>
    </row>
    <row r="31" spans="1:8" x14ac:dyDescent="0.2">
      <c r="A31" s="75"/>
      <c r="B31" s="76"/>
      <c r="C31" s="77"/>
      <c r="D31" s="77"/>
      <c r="E31" s="77"/>
      <c r="F31" s="77"/>
      <c r="G31" s="77"/>
    </row>
    <row r="32" spans="1:8" x14ac:dyDescent="0.2">
      <c r="A32" s="31" t="s">
        <v>129</v>
      </c>
      <c r="B32" s="31"/>
      <c r="C32" s="31"/>
      <c r="D32" s="31"/>
      <c r="E32" s="31"/>
      <c r="F32" s="78" t="s">
        <v>12</v>
      </c>
      <c r="G32" s="31"/>
    </row>
    <row r="33" spans="1:7" x14ac:dyDescent="0.2">
      <c r="A33" s="411">
        <v>42142</v>
      </c>
      <c r="B33" s="411"/>
      <c r="C33" s="31"/>
      <c r="D33" s="31"/>
      <c r="E33" s="31"/>
      <c r="F33" s="78" t="s">
        <v>93</v>
      </c>
      <c r="G33" s="31"/>
    </row>
    <row r="38" spans="1:7" x14ac:dyDescent="0.2">
      <c r="D38" s="182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κατά επαρχία και φύλο το 2015</vt:lpstr>
      <vt:lpstr>κατά επαρχία,  μήνα 2014,2015</vt:lpstr>
      <vt:lpstr>κατά φύλο, μήνα 2014,2015</vt:lpstr>
      <vt:lpstr>άνεργοι κατά μήνα 2007-2015</vt:lpstr>
      <vt:lpstr>δικ κατά μήν και κοιν 2014-2015</vt:lpstr>
      <vt:lpstr>δικ, ποσό πληρ. κατά μήνα 11-15</vt:lpstr>
      <vt:lpstr>άνεργοι κατά οικ. δραστ.1.2015</vt:lpstr>
      <vt:lpstr>άνεργοι κατά οικ. δραστ. 2.2015</vt:lpstr>
      <vt:lpstr>άνεργοι κατά οικ. δρστ. 3.2015</vt:lpstr>
      <vt:lpstr>άνεργοι κατά οικ. δραστ. 4.2015</vt:lpstr>
      <vt:lpstr>άνεργοι κατά οικ. δραστ. 5.2015</vt:lpstr>
      <vt:lpstr>άνεργοι κατά οικ. δρ. 6.2015</vt:lpstr>
      <vt:lpstr>άνεργοι κατά οικ. δρ. 7.2015</vt:lpstr>
      <vt:lpstr>άνεργοι κατά οικ. δρ. 8.15</vt:lpstr>
      <vt:lpstr>ανεργοι κατά οικ. δρ.9.15</vt:lpstr>
      <vt:lpstr>ανεργοι κατά οικ. δρ.10.15</vt:lpstr>
      <vt:lpstr>ανεργοι κατά οικ. δρ.11.15</vt:lpstr>
      <vt:lpstr>ανεργοι κατά οικ. δρ.12.15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2016-05-25T09:49:06Z</cp:lastPrinted>
  <dcterms:created xsi:type="dcterms:W3CDTF">1999-12-20T10:51:55Z</dcterms:created>
  <dcterms:modified xsi:type="dcterms:W3CDTF">2016-06-03T08:39:58Z</dcterms:modified>
</cp:coreProperties>
</file>