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Pensioners &amp; beneficiaries\Αριθμος συνταξιούχων\"/>
    </mc:Choice>
  </mc:AlternateContent>
  <bookViews>
    <workbookView xWindow="0" yWindow="0" windowWidth="24000" windowHeight="9735" firstSheet="9" activeTab="13"/>
  </bookViews>
  <sheets>
    <sheet name="122013" sheetId="16" r:id="rId1"/>
    <sheet name="INV122013" sheetId="18" r:id="rId2"/>
    <sheet name="122014" sheetId="15" r:id="rId3"/>
    <sheet name="INV122014" sheetId="20" r:id="rId4"/>
    <sheet name="122015" sheetId="14" r:id="rId5"/>
    <sheet name="INV122015" sheetId="21" r:id="rId6"/>
    <sheet name="122016 " sheetId="13" r:id="rId7"/>
    <sheet name="INV122016" sheetId="22" r:id="rId8"/>
    <sheet name="122017" sheetId="23" r:id="rId9"/>
    <sheet name="INV122017" sheetId="24" r:id="rId10"/>
    <sheet name="122018" sheetId="25" r:id="rId11"/>
    <sheet name="INV122018" sheetId="26" r:id="rId12"/>
    <sheet name="122019" sheetId="27" r:id="rId13"/>
    <sheet name="INV122019" sheetId="28" r:id="rId14"/>
  </sheets>
  <definedNames>
    <definedName name="_xlnm.Print_Area" localSheetId="1">'INV122013'!$A$1:$J$48</definedName>
    <definedName name="_xlnm.Print_Area" localSheetId="3">'INV122014'!$A$1:$J$48</definedName>
    <definedName name="_xlnm.Print_Area" localSheetId="5">'INV122015'!$A$1:$J$48</definedName>
    <definedName name="_xlnm.Print_Area" localSheetId="7">'INV122016'!$A$1:$J$48</definedName>
    <definedName name="_xlnm.Print_Area" localSheetId="9">'INV122017'!$A$1:$J$48</definedName>
    <definedName name="_xlnm.Print_Area" localSheetId="11">'INV122018'!$A$1:$J$48</definedName>
    <definedName name="_xlnm.Print_Area" localSheetId="13">'INV122019'!$A$1:$J$48</definedName>
  </definedNames>
  <calcPr calcId="152511"/>
</workbook>
</file>

<file path=xl/calcChain.xml><?xml version="1.0" encoding="utf-8"?>
<calcChain xmlns="http://schemas.openxmlformats.org/spreadsheetml/2006/main">
  <c r="C30" i="27" l="1"/>
  <c r="D28" i="27"/>
  <c r="D27" i="27"/>
  <c r="C27" i="27"/>
  <c r="D26" i="27"/>
  <c r="C26" i="27"/>
  <c r="C21" i="27"/>
  <c r="D20" i="27"/>
  <c r="C20" i="27"/>
  <c r="D19" i="27"/>
  <c r="C19" i="27"/>
  <c r="D18" i="27"/>
  <c r="C18" i="27"/>
  <c r="D17" i="27"/>
  <c r="C17" i="27"/>
  <c r="C16" i="27"/>
  <c r="C15" i="27"/>
  <c r="D13" i="27"/>
  <c r="C13" i="27"/>
  <c r="D12" i="27"/>
  <c r="C12" i="27"/>
  <c r="D11" i="27"/>
  <c r="C11" i="27"/>
  <c r="D10" i="27"/>
  <c r="C10" i="27"/>
  <c r="D9" i="27"/>
  <c r="C9" i="27"/>
  <c r="D8" i="27"/>
  <c r="C8" i="27"/>
  <c r="C7" i="27"/>
  <c r="C6" i="27"/>
  <c r="I41" i="28" l="1"/>
  <c r="G41" i="28"/>
  <c r="E41" i="28"/>
  <c r="C41" i="28"/>
  <c r="I32" i="28"/>
  <c r="G32" i="28"/>
  <c r="E32" i="28"/>
  <c r="C32" i="28"/>
  <c r="I23" i="28"/>
  <c r="G23" i="28"/>
  <c r="E23" i="28"/>
  <c r="C23" i="28"/>
  <c r="J23" i="28" s="1"/>
  <c r="I14" i="28"/>
  <c r="I42" i="28" s="1"/>
  <c r="G14" i="28"/>
  <c r="E14" i="28"/>
  <c r="E42" i="28" s="1"/>
  <c r="C14" i="28"/>
  <c r="C42" i="28" s="1"/>
  <c r="E41" i="27"/>
  <c r="D41" i="27"/>
  <c r="C41" i="27"/>
  <c r="F40" i="27"/>
  <c r="F39" i="27"/>
  <c r="F38" i="27"/>
  <c r="F37" i="27"/>
  <c r="F36" i="27"/>
  <c r="F35" i="27"/>
  <c r="F34" i="27"/>
  <c r="F33" i="27"/>
  <c r="E32" i="27"/>
  <c r="D32" i="27"/>
  <c r="C32" i="27"/>
  <c r="F31" i="27"/>
  <c r="F30" i="27"/>
  <c r="F29" i="27"/>
  <c r="F28" i="27"/>
  <c r="F27" i="27"/>
  <c r="F26" i="27"/>
  <c r="F25" i="27"/>
  <c r="F24" i="27"/>
  <c r="E23" i="27"/>
  <c r="D23" i="27"/>
  <c r="C23" i="27"/>
  <c r="F22" i="27"/>
  <c r="F21" i="27"/>
  <c r="F20" i="27"/>
  <c r="F19" i="27"/>
  <c r="F18" i="27"/>
  <c r="F17" i="27"/>
  <c r="F16" i="27"/>
  <c r="F15" i="27"/>
  <c r="E14" i="27"/>
  <c r="D14" i="27"/>
  <c r="C14" i="27"/>
  <c r="F13" i="27"/>
  <c r="F12" i="27"/>
  <c r="F11" i="27"/>
  <c r="F10" i="27"/>
  <c r="F9" i="27"/>
  <c r="F8" i="27"/>
  <c r="F7" i="27"/>
  <c r="F6" i="27"/>
  <c r="G42" i="28" l="1"/>
  <c r="J42" i="28" s="1"/>
  <c r="J41" i="28"/>
  <c r="J32" i="28"/>
  <c r="F41" i="27"/>
  <c r="F32" i="27"/>
  <c r="C42" i="27"/>
  <c r="D42" i="27"/>
  <c r="F23" i="27"/>
  <c r="F14" i="27"/>
  <c r="J14" i="28"/>
  <c r="E42" i="27"/>
  <c r="I41" i="26"/>
  <c r="G41" i="26"/>
  <c r="E41" i="26"/>
  <c r="C41" i="26"/>
  <c r="I32" i="26"/>
  <c r="G32" i="26"/>
  <c r="E32" i="26"/>
  <c r="C32" i="26"/>
  <c r="I23" i="26"/>
  <c r="G23" i="26"/>
  <c r="E23" i="26"/>
  <c r="C23" i="26"/>
  <c r="I14" i="26"/>
  <c r="G14" i="26"/>
  <c r="E14" i="26"/>
  <c r="C14" i="26"/>
  <c r="E41" i="25"/>
  <c r="C41" i="25"/>
  <c r="F40" i="25"/>
  <c r="F39" i="25"/>
  <c r="F38" i="25"/>
  <c r="F37" i="25"/>
  <c r="F36" i="25"/>
  <c r="D41" i="25"/>
  <c r="F34" i="25"/>
  <c r="F33" i="25"/>
  <c r="E32" i="25"/>
  <c r="C32" i="25"/>
  <c r="F31" i="25"/>
  <c r="F30" i="25"/>
  <c r="F29" i="25"/>
  <c r="F28" i="25"/>
  <c r="F27" i="25"/>
  <c r="D32" i="25"/>
  <c r="F25" i="25"/>
  <c r="F24" i="25"/>
  <c r="E23" i="25"/>
  <c r="F22" i="25"/>
  <c r="F21" i="25"/>
  <c r="F20" i="25"/>
  <c r="F19" i="25"/>
  <c r="D23" i="25"/>
  <c r="F18" i="25"/>
  <c r="F17" i="25"/>
  <c r="C23" i="25"/>
  <c r="F15" i="25"/>
  <c r="E14" i="25"/>
  <c r="F13" i="25"/>
  <c r="F12" i="25"/>
  <c r="F11" i="25"/>
  <c r="F10" i="25"/>
  <c r="F9" i="25"/>
  <c r="F8" i="25"/>
  <c r="D14" i="25"/>
  <c r="F7" i="25"/>
  <c r="F6" i="25"/>
  <c r="F42" i="27" l="1"/>
  <c r="I42" i="26"/>
  <c r="G42" i="26"/>
  <c r="E42" i="26"/>
  <c r="E42" i="25"/>
  <c r="F41" i="25"/>
  <c r="J41" i="26"/>
  <c r="J32" i="26"/>
  <c r="J23" i="26"/>
  <c r="C42" i="26"/>
  <c r="J14" i="26"/>
  <c r="F32" i="25"/>
  <c r="F23" i="25"/>
  <c r="D42" i="25"/>
  <c r="F16" i="25"/>
  <c r="C14" i="25"/>
  <c r="F35" i="25"/>
  <c r="F26" i="25"/>
  <c r="I41" i="24"/>
  <c r="G41" i="24"/>
  <c r="E41" i="24"/>
  <c r="C41" i="24"/>
  <c r="I32" i="24"/>
  <c r="G32" i="24"/>
  <c r="E32" i="24"/>
  <c r="C32" i="24"/>
  <c r="I23" i="24"/>
  <c r="G23" i="24"/>
  <c r="E23" i="24"/>
  <c r="C23" i="24"/>
  <c r="I14" i="24"/>
  <c r="G14" i="24"/>
  <c r="G42" i="24" s="1"/>
  <c r="E14" i="24"/>
  <c r="E42" i="24" s="1"/>
  <c r="C14" i="24"/>
  <c r="C42" i="24" s="1"/>
  <c r="D35" i="23"/>
  <c r="C39" i="23"/>
  <c r="D29" i="23"/>
  <c r="D28" i="23"/>
  <c r="F28" i="23" s="1"/>
  <c r="D27" i="23"/>
  <c r="D26" i="23"/>
  <c r="C29" i="23"/>
  <c r="C27" i="23"/>
  <c r="C32" i="23" s="1"/>
  <c r="C26" i="23"/>
  <c r="D19" i="23"/>
  <c r="D18" i="23"/>
  <c r="D17" i="23"/>
  <c r="C22" i="23"/>
  <c r="F22" i="23" s="1"/>
  <c r="C21" i="23"/>
  <c r="F21" i="23" s="1"/>
  <c r="C20" i="23"/>
  <c r="F20" i="23" s="1"/>
  <c r="C19" i="23"/>
  <c r="C18" i="23"/>
  <c r="C17" i="23"/>
  <c r="C16" i="23"/>
  <c r="F16" i="23" s="1"/>
  <c r="C15" i="23"/>
  <c r="F15" i="23" s="1"/>
  <c r="D13" i="23"/>
  <c r="D12" i="23"/>
  <c r="D11" i="23"/>
  <c r="D10" i="23"/>
  <c r="D9" i="23"/>
  <c r="D8" i="23"/>
  <c r="D7" i="23"/>
  <c r="C13" i="23"/>
  <c r="C12" i="23"/>
  <c r="C11" i="23"/>
  <c r="C10" i="23"/>
  <c r="C9" i="23"/>
  <c r="C8" i="23"/>
  <c r="C7" i="23"/>
  <c r="C6" i="23"/>
  <c r="E41" i="23"/>
  <c r="F40" i="23"/>
  <c r="F39" i="23"/>
  <c r="F38" i="23"/>
  <c r="F37" i="23"/>
  <c r="F36" i="23"/>
  <c r="D41" i="23"/>
  <c r="F34" i="23"/>
  <c r="F33" i="23"/>
  <c r="E32" i="23"/>
  <c r="F31" i="23"/>
  <c r="F30" i="23"/>
  <c r="F29" i="23"/>
  <c r="F26" i="23"/>
  <c r="F25" i="23"/>
  <c r="F24" i="23"/>
  <c r="E23" i="23"/>
  <c r="E14" i="23"/>
  <c r="F13" i="23"/>
  <c r="J42" i="26" l="1"/>
  <c r="F14" i="25"/>
  <c r="C42" i="25"/>
  <c r="F42" i="25" s="1"/>
  <c r="F7" i="23"/>
  <c r="F11" i="23"/>
  <c r="D14" i="23"/>
  <c r="C23" i="23"/>
  <c r="F9" i="23"/>
  <c r="F18" i="23"/>
  <c r="J23" i="24"/>
  <c r="J41" i="24"/>
  <c r="I42" i="24"/>
  <c r="J42" i="24" s="1"/>
  <c r="J32" i="24"/>
  <c r="J14" i="24"/>
  <c r="D32" i="23"/>
  <c r="F32" i="23" s="1"/>
  <c r="E42" i="23"/>
  <c r="F19" i="23"/>
  <c r="F17" i="23"/>
  <c r="F8" i="23"/>
  <c r="F12" i="23"/>
  <c r="C14" i="23"/>
  <c r="F14" i="23" s="1"/>
  <c r="D23" i="23"/>
  <c r="F6" i="23"/>
  <c r="F10" i="23"/>
  <c r="F35" i="23"/>
  <c r="C41" i="23"/>
  <c r="F41" i="23" s="1"/>
  <c r="F27" i="23"/>
  <c r="D42" i="23" l="1"/>
  <c r="C42" i="23"/>
  <c r="F42" i="23" s="1"/>
  <c r="F23" i="23"/>
  <c r="I41" i="18" l="1"/>
  <c r="G41" i="18"/>
  <c r="E41" i="18"/>
  <c r="C41" i="18"/>
  <c r="J41" i="18" s="1"/>
  <c r="I32" i="18"/>
  <c r="G32" i="18"/>
  <c r="E32" i="18"/>
  <c r="C32" i="18"/>
  <c r="J32" i="18" s="1"/>
  <c r="I23" i="18"/>
  <c r="G23" i="18"/>
  <c r="E23" i="18"/>
  <c r="C23" i="18"/>
  <c r="J23" i="18" s="1"/>
  <c r="I14" i="18"/>
  <c r="I42" i="18" s="1"/>
  <c r="G14" i="18"/>
  <c r="G42" i="18" s="1"/>
  <c r="E14" i="18"/>
  <c r="E42" i="18" s="1"/>
  <c r="C14" i="18"/>
  <c r="C42" i="18" s="1"/>
  <c r="I41" i="20"/>
  <c r="G41" i="20"/>
  <c r="E41" i="20"/>
  <c r="C41" i="20"/>
  <c r="J41" i="20" s="1"/>
  <c r="I32" i="20"/>
  <c r="G32" i="20"/>
  <c r="E32" i="20"/>
  <c r="C32" i="20"/>
  <c r="J32" i="20" s="1"/>
  <c r="I23" i="20"/>
  <c r="G23" i="20"/>
  <c r="E23" i="20"/>
  <c r="C23" i="20"/>
  <c r="J23" i="20" s="1"/>
  <c r="I14" i="20"/>
  <c r="I42" i="20" s="1"/>
  <c r="G14" i="20"/>
  <c r="G42" i="20" s="1"/>
  <c r="E14" i="20"/>
  <c r="E42" i="20" s="1"/>
  <c r="C14" i="20"/>
  <c r="C42" i="20" s="1"/>
  <c r="J42" i="20" s="1"/>
  <c r="I41" i="21"/>
  <c r="G41" i="21"/>
  <c r="E41" i="21"/>
  <c r="C41" i="21"/>
  <c r="J41" i="21" s="1"/>
  <c r="I32" i="21"/>
  <c r="G32" i="21"/>
  <c r="E32" i="21"/>
  <c r="C32" i="21"/>
  <c r="J32" i="21" s="1"/>
  <c r="I23" i="21"/>
  <c r="G23" i="21"/>
  <c r="E23" i="21"/>
  <c r="C23" i="21"/>
  <c r="J23" i="21" s="1"/>
  <c r="I14" i="21"/>
  <c r="I42" i="21" s="1"/>
  <c r="G14" i="21"/>
  <c r="G42" i="21" s="1"/>
  <c r="E14" i="21"/>
  <c r="E42" i="21" s="1"/>
  <c r="C14" i="21"/>
  <c r="C42" i="21" s="1"/>
  <c r="I41" i="22"/>
  <c r="G41" i="22"/>
  <c r="E41" i="22"/>
  <c r="C41" i="22"/>
  <c r="J41" i="22" s="1"/>
  <c r="I32" i="22"/>
  <c r="G32" i="22"/>
  <c r="E32" i="22"/>
  <c r="C32" i="22"/>
  <c r="J32" i="22" s="1"/>
  <c r="I23" i="22"/>
  <c r="G23" i="22"/>
  <c r="E23" i="22"/>
  <c r="C23" i="22"/>
  <c r="J23" i="22" s="1"/>
  <c r="I14" i="22"/>
  <c r="I42" i="22" s="1"/>
  <c r="G14" i="22"/>
  <c r="G42" i="22" s="1"/>
  <c r="E14" i="22"/>
  <c r="E42" i="22" s="1"/>
  <c r="C14" i="22"/>
  <c r="J14" i="22" s="1"/>
  <c r="J42" i="18" l="1"/>
  <c r="J14" i="18"/>
  <c r="J14" i="20"/>
  <c r="J42" i="21"/>
  <c r="J14" i="21"/>
  <c r="C42" i="22"/>
  <c r="J42" i="22" s="1"/>
  <c r="E41" i="13"/>
  <c r="E32" i="13"/>
  <c r="E23" i="13"/>
  <c r="E14" i="13"/>
  <c r="E41" i="14"/>
  <c r="E32" i="14"/>
  <c r="E23" i="14"/>
  <c r="E14" i="14"/>
  <c r="E41" i="15"/>
  <c r="E32" i="15"/>
  <c r="E23" i="15"/>
  <c r="E14" i="15"/>
  <c r="E41" i="16"/>
  <c r="E32" i="16"/>
  <c r="E23" i="16"/>
  <c r="E14" i="16"/>
  <c r="E42" i="13" l="1"/>
  <c r="E42" i="14"/>
  <c r="E42" i="15"/>
  <c r="E42" i="16"/>
  <c r="D38" i="16"/>
  <c r="F38" i="16" s="1"/>
  <c r="D37" i="16"/>
  <c r="D36" i="16"/>
  <c r="F36" i="16" s="1"/>
  <c r="D35" i="16"/>
  <c r="D29" i="16"/>
  <c r="D28" i="16"/>
  <c r="D27" i="16"/>
  <c r="D26" i="16"/>
  <c r="D20" i="16"/>
  <c r="D19" i="16"/>
  <c r="D18" i="16"/>
  <c r="D17" i="16"/>
  <c r="D16" i="16"/>
  <c r="D13" i="16"/>
  <c r="D12" i="16"/>
  <c r="D11" i="16"/>
  <c r="D10" i="16"/>
  <c r="D9" i="16"/>
  <c r="D8" i="16"/>
  <c r="D7" i="16"/>
  <c r="C37" i="16"/>
  <c r="C29" i="16"/>
  <c r="C28" i="16"/>
  <c r="F28" i="16" s="1"/>
  <c r="C27" i="16"/>
  <c r="C26" i="16"/>
  <c r="C21" i="16"/>
  <c r="F21" i="16" s="1"/>
  <c r="C20" i="16"/>
  <c r="C19" i="16"/>
  <c r="C18" i="16"/>
  <c r="C17" i="16"/>
  <c r="C16" i="16"/>
  <c r="C15" i="16"/>
  <c r="C13" i="16"/>
  <c r="C12" i="16"/>
  <c r="C11" i="16"/>
  <c r="C10" i="16"/>
  <c r="C9" i="16"/>
  <c r="F9" i="16" s="1"/>
  <c r="C8" i="16"/>
  <c r="C7" i="16"/>
  <c r="C6" i="16"/>
  <c r="F6" i="16" s="1"/>
  <c r="C41" i="16"/>
  <c r="F40" i="16"/>
  <c r="F39" i="16"/>
  <c r="F37" i="16"/>
  <c r="F34" i="16"/>
  <c r="F33" i="16"/>
  <c r="F31" i="16"/>
  <c r="F30" i="16"/>
  <c r="F25" i="16"/>
  <c r="F24" i="16"/>
  <c r="F22" i="16"/>
  <c r="F10" i="16" l="1"/>
  <c r="F26" i="16"/>
  <c r="F16" i="16"/>
  <c r="F27" i="16"/>
  <c r="F8" i="16"/>
  <c r="F12" i="16"/>
  <c r="D41" i="16"/>
  <c r="F7" i="16"/>
  <c r="F13" i="16"/>
  <c r="F18" i="16"/>
  <c r="F20" i="16"/>
  <c r="F29" i="16"/>
  <c r="D32" i="16"/>
  <c r="D23" i="16"/>
  <c r="F19" i="16"/>
  <c r="F11" i="16"/>
  <c r="D14" i="16"/>
  <c r="C23" i="16"/>
  <c r="F41" i="16"/>
  <c r="F17" i="16"/>
  <c r="F35" i="16"/>
  <c r="C14" i="16"/>
  <c r="C32" i="16"/>
  <c r="F15" i="16"/>
  <c r="D38" i="15"/>
  <c r="D37" i="15"/>
  <c r="D35" i="15"/>
  <c r="D29" i="15"/>
  <c r="D28" i="15"/>
  <c r="D27" i="15"/>
  <c r="D26" i="15"/>
  <c r="D21" i="15"/>
  <c r="D20" i="15"/>
  <c r="D19" i="15"/>
  <c r="D18" i="15"/>
  <c r="D17" i="15"/>
  <c r="D16" i="15"/>
  <c r="D13" i="15"/>
  <c r="D12" i="15"/>
  <c r="D11" i="15"/>
  <c r="D10" i="15"/>
  <c r="D9" i="15"/>
  <c r="D8" i="15"/>
  <c r="D7" i="15"/>
  <c r="D42" i="16" l="1"/>
  <c r="F32" i="16"/>
  <c r="F23" i="16"/>
  <c r="C42" i="16"/>
  <c r="F14" i="16"/>
  <c r="C37" i="15"/>
  <c r="C41" i="15" s="1"/>
  <c r="C29" i="15"/>
  <c r="F29" i="15" s="1"/>
  <c r="C27" i="15"/>
  <c r="C26" i="15"/>
  <c r="F26" i="15" s="1"/>
  <c r="C21" i="15"/>
  <c r="F21" i="15" s="1"/>
  <c r="C20" i="15"/>
  <c r="F20" i="15" s="1"/>
  <c r="C19" i="15"/>
  <c r="F19" i="15" s="1"/>
  <c r="C18" i="15"/>
  <c r="F18" i="15" s="1"/>
  <c r="C17" i="15"/>
  <c r="C16" i="15"/>
  <c r="F16" i="15" s="1"/>
  <c r="C15" i="15"/>
  <c r="F15" i="15" s="1"/>
  <c r="C13" i="15"/>
  <c r="C12" i="15"/>
  <c r="C11" i="15"/>
  <c r="F11" i="15" s="1"/>
  <c r="C10" i="15"/>
  <c r="F10" i="15" s="1"/>
  <c r="C9" i="15"/>
  <c r="F9" i="15" s="1"/>
  <c r="C8" i="15"/>
  <c r="F8" i="15" s="1"/>
  <c r="C7" i="15"/>
  <c r="F7" i="15" s="1"/>
  <c r="C6" i="15"/>
  <c r="F40" i="15"/>
  <c r="F39" i="15"/>
  <c r="F38" i="15"/>
  <c r="F36" i="15"/>
  <c r="F35" i="15"/>
  <c r="D41" i="15"/>
  <c r="F34" i="15"/>
  <c r="F33" i="15"/>
  <c r="F31" i="15"/>
  <c r="F30" i="15"/>
  <c r="F28" i="15"/>
  <c r="F27" i="15"/>
  <c r="D32" i="15"/>
  <c r="F25" i="15"/>
  <c r="F24" i="15"/>
  <c r="F22" i="15"/>
  <c r="D23" i="15"/>
  <c r="F13" i="15"/>
  <c r="F37" i="15" l="1"/>
  <c r="F42" i="16"/>
  <c r="C14" i="15"/>
  <c r="C23" i="15"/>
  <c r="F23" i="15" s="1"/>
  <c r="F12" i="15"/>
  <c r="F41" i="15"/>
  <c r="F6" i="15"/>
  <c r="F17" i="15"/>
  <c r="C32" i="15"/>
  <c r="F32" i="15" s="1"/>
  <c r="D14" i="15"/>
  <c r="D42" i="15" s="1"/>
  <c r="F14" i="15" l="1"/>
  <c r="C42" i="15"/>
  <c r="F42" i="15" s="1"/>
  <c r="D38" i="14" l="1"/>
  <c r="D37" i="14"/>
  <c r="D35" i="14"/>
  <c r="D29" i="14"/>
  <c r="D28" i="14"/>
  <c r="D27" i="14"/>
  <c r="D26" i="14"/>
  <c r="D20" i="14"/>
  <c r="D19" i="14"/>
  <c r="D18" i="14"/>
  <c r="D17" i="14"/>
  <c r="D13" i="14"/>
  <c r="D12" i="14"/>
  <c r="D11" i="14"/>
  <c r="D10" i="14"/>
  <c r="D9" i="14"/>
  <c r="D8" i="14"/>
  <c r="D7" i="14"/>
  <c r="C39" i="14"/>
  <c r="C29" i="14"/>
  <c r="C27" i="14"/>
  <c r="C26" i="14"/>
  <c r="C21" i="14"/>
  <c r="C20" i="14"/>
  <c r="C19" i="14"/>
  <c r="C18" i="14"/>
  <c r="C17" i="14"/>
  <c r="C16" i="14"/>
  <c r="C15" i="14"/>
  <c r="C13" i="14"/>
  <c r="C12" i="14"/>
  <c r="C11" i="14"/>
  <c r="C10" i="14"/>
  <c r="C9" i="14"/>
  <c r="C8" i="14"/>
  <c r="C7" i="14"/>
  <c r="C6" i="14"/>
  <c r="C41" i="14" l="1"/>
  <c r="F40" i="14"/>
  <c r="F39" i="14"/>
  <c r="F38" i="14"/>
  <c r="F37" i="14"/>
  <c r="F36" i="14"/>
  <c r="D41" i="14"/>
  <c r="F34" i="14"/>
  <c r="F33" i="14"/>
  <c r="F31" i="14"/>
  <c r="F30" i="14"/>
  <c r="F29" i="14"/>
  <c r="F28" i="14"/>
  <c r="F27" i="14"/>
  <c r="F26" i="14"/>
  <c r="C32" i="14"/>
  <c r="F25" i="14"/>
  <c r="F24" i="14"/>
  <c r="F22" i="14"/>
  <c r="F21" i="14"/>
  <c r="F20" i="14"/>
  <c r="F19" i="14"/>
  <c r="F18" i="14"/>
  <c r="D23" i="14"/>
  <c r="F17" i="14"/>
  <c r="F16" i="14"/>
  <c r="F15" i="14"/>
  <c r="F13" i="14"/>
  <c r="F12" i="14"/>
  <c r="F11" i="14"/>
  <c r="F10" i="14"/>
  <c r="F9" i="14"/>
  <c r="F8" i="14"/>
  <c r="D14" i="14"/>
  <c r="F6" i="14"/>
  <c r="F41" i="14" l="1"/>
  <c r="C14" i="14"/>
  <c r="F35" i="14"/>
  <c r="C23" i="14"/>
  <c r="F23" i="14" s="1"/>
  <c r="D32" i="14"/>
  <c r="D42" i="14" s="1"/>
  <c r="F7" i="14"/>
  <c r="F32" i="14" l="1"/>
  <c r="F14" i="14"/>
  <c r="C42" i="14"/>
  <c r="F42" i="14" s="1"/>
  <c r="D38" i="13"/>
  <c r="D35" i="13"/>
  <c r="D29" i="13"/>
  <c r="D28" i="13"/>
  <c r="D27" i="13"/>
  <c r="D26" i="13"/>
  <c r="D20" i="13"/>
  <c r="D19" i="13"/>
  <c r="D18" i="13"/>
  <c r="D17" i="13"/>
  <c r="D13" i="13"/>
  <c r="D12" i="13"/>
  <c r="D11" i="13"/>
  <c r="D10" i="13"/>
  <c r="D9" i="13"/>
  <c r="D8" i="13"/>
  <c r="D7" i="13"/>
  <c r="C39" i="13"/>
  <c r="C29" i="13"/>
  <c r="C27" i="13"/>
  <c r="C26" i="13"/>
  <c r="C22" i="13"/>
  <c r="C21" i="13"/>
  <c r="C20" i="13"/>
  <c r="C19" i="13"/>
  <c r="C18" i="13"/>
  <c r="C17" i="13"/>
  <c r="C16" i="13"/>
  <c r="C15" i="13"/>
  <c r="C13" i="13"/>
  <c r="C12" i="13"/>
  <c r="C11" i="13"/>
  <c r="C10" i="13"/>
  <c r="C9" i="13"/>
  <c r="C8" i="13"/>
  <c r="C7" i="13"/>
  <c r="C6" i="13"/>
  <c r="F36" i="13" l="1"/>
  <c r="F37" i="13"/>
  <c r="F40" i="13"/>
  <c r="F34" i="13"/>
  <c r="F33" i="13"/>
  <c r="F30" i="13"/>
  <c r="F31" i="13"/>
  <c r="F25" i="13"/>
  <c r="F24" i="13"/>
  <c r="F35" i="13" l="1"/>
  <c r="F28" i="13"/>
  <c r="F27" i="13"/>
  <c r="F22" i="13"/>
  <c r="F21" i="13"/>
  <c r="F20" i="13"/>
  <c r="F19" i="13"/>
  <c r="F18" i="13"/>
  <c r="F17" i="13"/>
  <c r="F16" i="13"/>
  <c r="F15" i="13"/>
  <c r="F12" i="13"/>
  <c r="F11" i="13"/>
  <c r="F8" i="13"/>
  <c r="F7" i="13"/>
  <c r="F6" i="13"/>
  <c r="F29" i="13" l="1"/>
  <c r="F9" i="13"/>
  <c r="F13" i="13"/>
  <c r="C41" i="13"/>
  <c r="F39" i="13"/>
  <c r="D41" i="13"/>
  <c r="F38" i="13"/>
  <c r="F10" i="13"/>
  <c r="F26" i="13"/>
  <c r="D23" i="13"/>
  <c r="D32" i="13"/>
  <c r="D14" i="13"/>
  <c r="C32" i="13"/>
  <c r="C23" i="13"/>
  <c r="F23" i="13" s="1"/>
  <c r="C14" i="13"/>
  <c r="D42" i="13" l="1"/>
  <c r="F32" i="13"/>
  <c r="C42" i="13"/>
  <c r="F41" i="13"/>
  <c r="F14" i="13"/>
  <c r="F42" i="13" l="1"/>
</calcChain>
</file>

<file path=xl/sharedStrings.xml><?xml version="1.0" encoding="utf-8"?>
<sst xmlns="http://schemas.openxmlformats.org/spreadsheetml/2006/main" count="1421" uniqueCount="407">
  <si>
    <t>0-352,88</t>
  </si>
  <si>
    <t>1245,45-1453,03</t>
  </si>
  <si>
    <t>&gt;1453,03</t>
  </si>
  <si>
    <t>tables from sas: ext_g1b3_c2016</t>
  </si>
  <si>
    <t>0-470,51</t>
  </si>
  <si>
    <t>&gt;1937,39</t>
  </si>
  <si>
    <t>0-529,32</t>
  </si>
  <si>
    <t>&gt;2179,56</t>
  </si>
  <si>
    <t>0-588,13</t>
  </si>
  <si>
    <t>&gt;2421,72</t>
  </si>
  <si>
    <t>415,16-622,72</t>
  </si>
  <si>
    <t>622,73-830,30</t>
  </si>
  <si>
    <t>830,31-1037,87</t>
  </si>
  <si>
    <t>1037,88-1245,44</t>
  </si>
  <si>
    <t>352,89-415,15</t>
  </si>
  <si>
    <t>470,52-553,54</t>
  </si>
  <si>
    <t>553,55-830,31</t>
  </si>
  <si>
    <t>830,32-1107,08</t>
  </si>
  <si>
    <t>1107,09-1383,85</t>
  </si>
  <si>
    <t>1383,86-1660,62</t>
  </si>
  <si>
    <t>1660,63-1937,39</t>
  </si>
  <si>
    <t>529,33-622,73</t>
  </si>
  <si>
    <t>622,74-937,10</t>
  </si>
  <si>
    <t>937,11-1245,46</t>
  </si>
  <si>
    <t>1245,47-1556,83</t>
  </si>
  <si>
    <t>1556,84-1868,19</t>
  </si>
  <si>
    <t>1868,20-2179,56</t>
  </si>
  <si>
    <t>588,14-691,92</t>
  </si>
  <si>
    <t>691,93-1037,88</t>
  </si>
  <si>
    <t>1037,89-1383,84</t>
  </si>
  <si>
    <t>1383,85-1729,80</t>
  </si>
  <si>
    <t>1729,81-2075,76</t>
  </si>
  <si>
    <t>2075,77-2421,72</t>
  </si>
  <si>
    <t>tables from sas: ext_g1b3_2015</t>
  </si>
  <si>
    <t>tables from sas: ext_g1b3c_2014</t>
  </si>
  <si>
    <t>tables from sas: ext_g1b3_311213</t>
  </si>
  <si>
    <t>Pension type</t>
  </si>
  <si>
    <t>Widow pension</t>
  </si>
  <si>
    <t>Disability pension</t>
  </si>
  <si>
    <t>Total</t>
  </si>
  <si>
    <t>Group amount</t>
  </si>
  <si>
    <t>Pensioners with 0 dependants</t>
  </si>
  <si>
    <t>Pensioners with 1 dependant</t>
  </si>
  <si>
    <t>Pensioners with 2 dependants</t>
  </si>
  <si>
    <t>Pensioners with 3+ dependants</t>
  </si>
  <si>
    <t>STATISTICS SECTION</t>
  </si>
  <si>
    <t>SOCIAL INSURANCE SERVICES</t>
  </si>
  <si>
    <t xml:space="preserve">Statutory pension 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</si>
  <si>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2016</t>
    </r>
  </si>
  <si>
    <t>Group amount for  60% invalidity</t>
  </si>
  <si>
    <t>Number of pensioners</t>
  </si>
  <si>
    <t>Group amount for 75% invalidity</t>
  </si>
  <si>
    <t>Group amount for 85% invalidity</t>
  </si>
  <si>
    <t>Group amount for 100% invalidity</t>
  </si>
  <si>
    <t>0-211,73</t>
  </si>
  <si>
    <t>0-264,66</t>
  </si>
  <si>
    <t>0-299,95</t>
  </si>
  <si>
    <t>211,74-249,09</t>
  </si>
  <si>
    <t>264,67-311,36</t>
  </si>
  <si>
    <t>299,96-352,88</t>
  </si>
  <si>
    <t>249,10-373,63</t>
  </si>
  <si>
    <t>311,37-467,04</t>
  </si>
  <si>
    <t>352,89-529,32</t>
  </si>
  <si>
    <t>373,64-498,18</t>
  </si>
  <si>
    <t>467,05-622,72</t>
  </si>
  <si>
    <t>529,33-705,76</t>
  </si>
  <si>
    <t>498,19-622,72</t>
  </si>
  <si>
    <t>622,73-778,40</t>
  </si>
  <si>
    <t>705,77-882,20</t>
  </si>
  <si>
    <t>622,73-747,27</t>
  </si>
  <si>
    <t>778,41-937,08</t>
  </si>
  <si>
    <t>882,21-1058,64</t>
  </si>
  <si>
    <t>747,28-871,82</t>
  </si>
  <si>
    <t>937,09-1089,76</t>
  </si>
  <si>
    <t>1058,65-1235,08</t>
  </si>
  <si>
    <t>&gt;871,82</t>
  </si>
  <si>
    <t>&gt;1089,76</t>
  </si>
  <si>
    <t>&gt;1235,08</t>
  </si>
  <si>
    <t>0-282,31</t>
  </si>
  <si>
    <t>0-399,93</t>
  </si>
  <si>
    <t>282,32-332,12</t>
  </si>
  <si>
    <t>352,89-415,16</t>
  </si>
  <si>
    <t>399,94-470,51</t>
  </si>
  <si>
    <t>332,13-498,18</t>
  </si>
  <si>
    <t>415,17-622,74</t>
  </si>
  <si>
    <t>470,52-705,76</t>
  </si>
  <si>
    <t>498,19-664,24</t>
  </si>
  <si>
    <t>622,75-830,32</t>
  </si>
  <si>
    <t>705,77-941,02</t>
  </si>
  <si>
    <t>664,25-830,30</t>
  </si>
  <si>
    <t>830,33-1037,90</t>
  </si>
  <si>
    <t>941,03-1176,27</t>
  </si>
  <si>
    <t>830,31-996,36</t>
  </si>
  <si>
    <t>1037,91-1245,48</t>
  </si>
  <si>
    <t>1176,28-1411,53</t>
  </si>
  <si>
    <t>996,37-1162,42</t>
  </si>
  <si>
    <t>1245,49-1453,06</t>
  </si>
  <si>
    <t>1411,54-1646,79</t>
  </si>
  <si>
    <t>&gt;1162,42</t>
  </si>
  <si>
    <t>&gt;1453,06</t>
  </si>
  <si>
    <t>&gt;1646,79</t>
  </si>
  <si>
    <t>0-317,59</t>
  </si>
  <si>
    <t>0-396,99</t>
  </si>
  <si>
    <t>0-449,92</t>
  </si>
  <si>
    <t>317,60-373,64</t>
  </si>
  <si>
    <t>397,00-467,05</t>
  </si>
  <si>
    <t>449,93-529,32</t>
  </si>
  <si>
    <t>373,65-560,46</t>
  </si>
  <si>
    <t>467,06-700,57</t>
  </si>
  <si>
    <t>529,33-793,98</t>
  </si>
  <si>
    <t>560,47-747,28</t>
  </si>
  <si>
    <t>700,58-934,10</t>
  </si>
  <si>
    <t>793,99-1058,64</t>
  </si>
  <si>
    <t>747,29-934,10</t>
  </si>
  <si>
    <t>934,11-1167,62</t>
  </si>
  <si>
    <t>1058,65-1323,30</t>
  </si>
  <si>
    <t>934,11-1120,92</t>
  </si>
  <si>
    <t>1167,63-1401,15</t>
  </si>
  <si>
    <t>1323,31-1587,96</t>
  </si>
  <si>
    <t>1120,93-1307,74</t>
  </si>
  <si>
    <t>1401,16-1634,68</t>
  </si>
  <si>
    <t>1587,97-1852,62</t>
  </si>
  <si>
    <t>&gt;1307,74</t>
  </si>
  <si>
    <t>&gt;1634,68</t>
  </si>
  <si>
    <t>&gt;1852,62</t>
  </si>
  <si>
    <t>0-441,10</t>
  </si>
  <si>
    <t>0-499,91</t>
  </si>
  <si>
    <t>441,11-518,94</t>
  </si>
  <si>
    <t>499,92-588,13</t>
  </si>
  <si>
    <t>518,95-778,41</t>
  </si>
  <si>
    <t>588,14-882,19</t>
  </si>
  <si>
    <t>778,42-1037,88</t>
  </si>
  <si>
    <t>882,20-1176,26</t>
  </si>
  <si>
    <t>1037,89-1297,35</t>
  </si>
  <si>
    <t>1176,27-1470,32</t>
  </si>
  <si>
    <t>1037,88-1245,45</t>
  </si>
  <si>
    <t>1297,36-1556,82</t>
  </si>
  <si>
    <t>1470,33-1764,39</t>
  </si>
  <si>
    <t>1245,46-1453,03</t>
  </si>
  <si>
    <t>1556,83-1816,29</t>
  </si>
  <si>
    <t>1764,40-2058,46</t>
  </si>
  <si>
    <t>&gt;1816,29</t>
  </si>
  <si>
    <t>&gt;2058,46</t>
  </si>
  <si>
    <t>Number of invalidity pensioners by inalidity percentage, group amount and number of dependants 12/2016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</si>
  <si>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2015</t>
    </r>
  </si>
  <si>
    <t>Number of invalidity pensioners by invalidity percentage, group amount and number of dependants 12/2015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</si>
  <si>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2014</t>
    </r>
  </si>
  <si>
    <t>Number of invalidity pensioners by invalidity percentage, group amount and number of dependants 12/2014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</si>
  <si>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2013</t>
    </r>
  </si>
  <si>
    <t>Number of invalidity pensioners by invalidity percentage, group amount and number of dependants 12/2013</t>
  </si>
  <si>
    <t xml:space="preserve"> Number of pensioners (statutory, widow and disability pension) by kind of pension, group amount and number of dependants - December 2013</t>
  </si>
  <si>
    <t xml:space="preserve"> Number of pensioners (statutory, widow and disability pension) by kind of pension, group amount and number of dependants - December 2014</t>
  </si>
  <si>
    <t xml:space="preserve"> Number of pensioners (statutory, widow and disability pension) by kind of pension, group amount and number of dependants - December 2015</t>
  </si>
  <si>
    <t xml:space="preserve"> Number of pensioners (statutory, widow and disability pension) by kind of pension, group amount and number of dependants - December 2016</t>
  </si>
  <si>
    <t>Number of pensioners (statutory, widow and disability pension) by kind of pension, group amount and number of dependants 12/2013</t>
  </si>
  <si>
    <t>Number of pensioners (statutory, widow and disability pension) by kind of pension, group amount and number of dependants 12/2014</t>
  </si>
  <si>
    <t>Number of pensioners (statutory, widow and disability pension) by kind of pension, group amount and number of dependants 12/2015</t>
  </si>
  <si>
    <t>Number of pensioners (statutory, widow and disability pension) by kind of pension, group amount and number of dependants 12/2016</t>
  </si>
  <si>
    <t xml:space="preserve"> Number of pensioners (statutory, widow and disability pension) by kind of pension, group amount and number of dependants - December 2017</t>
  </si>
  <si>
    <t>Number of pensioners (statutory, widow and disability pension) by kind of pension, group amount and number of dependants 12/2017</t>
  </si>
  <si>
    <t>tables from sas: ext_g1b3_17</t>
  </si>
  <si>
    <t>0-355,74</t>
  </si>
  <si>
    <t>355,75-418,51</t>
  </si>
  <si>
    <t>418,52-627,77</t>
  </si>
  <si>
    <t>627,78-837,02</t>
  </si>
  <si>
    <t>837,03-1046,28</t>
  </si>
  <si>
    <t>1046,29-1255,53</t>
  </si>
  <si>
    <t>1255,54-1464,79</t>
  </si>
  <si>
    <t>&gt;1464,79</t>
  </si>
  <si>
    <t>0-474,31</t>
  </si>
  <si>
    <t>474,32-558,02</t>
  </si>
  <si>
    <t>558,03-837,03</t>
  </si>
  <si>
    <t>837,04-1116,04</t>
  </si>
  <si>
    <t>1116,05-1395,05</t>
  </si>
  <si>
    <t>1395,06-1674,06</t>
  </si>
  <si>
    <t>1674,07-1953,07</t>
  </si>
  <si>
    <t>&gt;1953,07</t>
  </si>
  <si>
    <t>0-533,60</t>
  </si>
  <si>
    <t>533,61-627,77</t>
  </si>
  <si>
    <t>627,78-941,66</t>
  </si>
  <si>
    <t>941,67-1255,54</t>
  </si>
  <si>
    <t>1255,55-1569,43</t>
  </si>
  <si>
    <t>1569,44-1883,31</t>
  </si>
  <si>
    <t>1883,32-2197,20</t>
  </si>
  <si>
    <t>&gt;2197,20</t>
  </si>
  <si>
    <t>0-592,89</t>
  </si>
  <si>
    <t>592,90-697,52</t>
  </si>
  <si>
    <t>697,53-1046,28</t>
  </si>
  <si>
    <t>1046,29-1395,04</t>
  </si>
  <si>
    <t>1395,05-1743,80</t>
  </si>
  <si>
    <t>1743,81-2092,56</t>
  </si>
  <si>
    <t>2092,57-2441,32</t>
  </si>
  <si>
    <t>&gt;2441,32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</si>
  <si>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2017</t>
    </r>
  </si>
  <si>
    <t>Number of invalidity pensioners by inalidity percentage, group amount and number of dependants 12/2017</t>
  </si>
  <si>
    <t>0-213,44</t>
  </si>
  <si>
    <t>0-266,81</t>
  </si>
  <si>
    <t>0-302,38</t>
  </si>
  <si>
    <t>213,45-251,11</t>
  </si>
  <si>
    <t>266,82-313,88</t>
  </si>
  <si>
    <t>302,39-355,73</t>
  </si>
  <si>
    <t>251,12-376,67</t>
  </si>
  <si>
    <t>313,89-470,82</t>
  </si>
  <si>
    <t>355,74-533,60</t>
  </si>
  <si>
    <t>376,68-502,22</t>
  </si>
  <si>
    <t>470,83-627,76</t>
  </si>
  <si>
    <t>533,61-711,46</t>
  </si>
  <si>
    <t>502,23-627,78</t>
  </si>
  <si>
    <t>627,77-784,70</t>
  </si>
  <si>
    <t>711,47-889,33</t>
  </si>
  <si>
    <t>627,79-753,33</t>
  </si>
  <si>
    <t>784,71-941,64</t>
  </si>
  <si>
    <t>889,34-1067,19</t>
  </si>
  <si>
    <t>753,34-878,89</t>
  </si>
  <si>
    <t>941,65-1098,58</t>
  </si>
  <si>
    <t>1067,20-1245,06</t>
  </si>
  <si>
    <t>&gt;878,89</t>
  </si>
  <si>
    <t>&gt;1098,58</t>
  </si>
  <si>
    <t>&gt;1245,06</t>
  </si>
  <si>
    <t>0-284,59</t>
  </si>
  <si>
    <t>0-355,73</t>
  </si>
  <si>
    <t>0-403,16</t>
  </si>
  <si>
    <t>284,60-334,81</t>
  </si>
  <si>
    <t>355,74-418,52</t>
  </si>
  <si>
    <t>403,17-474,32</t>
  </si>
  <si>
    <t>334,82-502,22</t>
  </si>
  <si>
    <t>418,53-627,78</t>
  </si>
  <si>
    <t>474,33-711,48</t>
  </si>
  <si>
    <t>502,23-669,62</t>
  </si>
  <si>
    <t>627,79-837,04</t>
  </si>
  <si>
    <t>711,49-948,64</t>
  </si>
  <si>
    <t>669,63-837,03</t>
  </si>
  <si>
    <t>837,05-1046,30</t>
  </si>
  <si>
    <t>948,65-1185,80</t>
  </si>
  <si>
    <t>837,04-1004,43</t>
  </si>
  <si>
    <t>1046,31-1255,56</t>
  </si>
  <si>
    <t>1185,81-1422,96</t>
  </si>
  <si>
    <t>1004,44-1171,84</t>
  </si>
  <si>
    <t>1255,57-1464,82</t>
  </si>
  <si>
    <t>1422,97-1660,12</t>
  </si>
  <si>
    <t>&gt;1171,84</t>
  </si>
  <si>
    <t>&gt;1464,82</t>
  </si>
  <si>
    <t>&gt;1660,12</t>
  </si>
  <si>
    <t>0-320,16</t>
  </si>
  <si>
    <t>0-400,20</t>
  </si>
  <si>
    <t>0-453,56</t>
  </si>
  <si>
    <t>320,17-376,66</t>
  </si>
  <si>
    <t>400,21-470,83</t>
  </si>
  <si>
    <t>453,57-533,60</t>
  </si>
  <si>
    <t>376,67-564,99</t>
  </si>
  <si>
    <t>470,84-706,25</t>
  </si>
  <si>
    <t>533,61-800,40</t>
  </si>
  <si>
    <t>565,00-753,32</t>
  </si>
  <si>
    <t>706,26-941,66</t>
  </si>
  <si>
    <t>800,41-1067,20</t>
  </si>
  <si>
    <t>753,33-941,65</t>
  </si>
  <si>
    <t>941,67-1177,08</t>
  </si>
  <si>
    <t>1067,21-1334,00</t>
  </si>
  <si>
    <t>941,66-1129,98</t>
  </si>
  <si>
    <t>1177,09-1412,49</t>
  </si>
  <si>
    <t>1334,01-1600,80</t>
  </si>
  <si>
    <t>1129,99-1318,31</t>
  </si>
  <si>
    <t>1412,50-1647,91</t>
  </si>
  <si>
    <t>1600,81-1867,60</t>
  </si>
  <si>
    <t>&gt;1318,31</t>
  </si>
  <si>
    <t>&gt;1647,91</t>
  </si>
  <si>
    <t>&gt;1867,60</t>
  </si>
  <si>
    <t>0-444,67</t>
  </si>
  <si>
    <t>0-503,96</t>
  </si>
  <si>
    <t>355,74-418,51</t>
  </si>
  <si>
    <t>444,68-523,14</t>
  </si>
  <si>
    <t>503,97-592,89</t>
  </si>
  <si>
    <t>523,15-784,71</t>
  </si>
  <si>
    <t>592,90-889,34</t>
  </si>
  <si>
    <t>784,72-1046,28</t>
  </si>
  <si>
    <t>889,35-1185,78</t>
  </si>
  <si>
    <t>1046,29-1307,85</t>
  </si>
  <si>
    <t>1185,79-1482,23</t>
  </si>
  <si>
    <t>1307,86-1569,42</t>
  </si>
  <si>
    <t>1482,24-1778,67</t>
  </si>
  <si>
    <t>1569,43-1830,99</t>
  </si>
  <si>
    <t>1778,68-2075,12</t>
  </si>
  <si>
    <t>&gt;1830,99</t>
  </si>
  <si>
    <t>&gt;2075,12</t>
  </si>
  <si>
    <t xml:space="preserve"> Number of pensioners (statutory, widow and disability pension) by kind of pension, group amount and number of dependants - December 2018</t>
  </si>
  <si>
    <t>Number of pensioners (statutory, widow and disability pension) by kind of pension, group amount and number of dependants 12/2018</t>
  </si>
  <si>
    <t>tables from sas: ext_g1b3_2018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</si>
  <si>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2018</t>
    </r>
  </si>
  <si>
    <t>Number of invalidity pensioners by inalidity percentage, group amount and number of dependants 12/2018</t>
  </si>
  <si>
    <t xml:space="preserve"> Number of pensioners (statutory, widow and disability pension) by kind of pension, group amount and number of dependants - December 2019</t>
  </si>
  <si>
    <t>Number of pensioners (statutory, widow and disability pension) by kind of pension, group amount and number of dependants 12/2019</t>
  </si>
  <si>
    <t>tables from sas: ext_g1b3_2019</t>
  </si>
  <si>
    <t>0-357,2</t>
  </si>
  <si>
    <t>357,23-420,26</t>
  </si>
  <si>
    <t>420,27-630,40</t>
  </si>
  <si>
    <t>630,41-840,53</t>
  </si>
  <si>
    <t>840,54-1050,66</t>
  </si>
  <si>
    <t>1050,67-1260,79</t>
  </si>
  <si>
    <t>1260,80-1470,92</t>
  </si>
  <si>
    <t>&gt;1470,92</t>
  </si>
  <si>
    <t>0-476,30</t>
  </si>
  <si>
    <t>476,31-560,35</t>
  </si>
  <si>
    <t>560,36-840,53</t>
  </si>
  <si>
    <t>840,54-1120,70</t>
  </si>
  <si>
    <t>1120,71-1400,88</t>
  </si>
  <si>
    <t>1400,89-1681,06</t>
  </si>
  <si>
    <t>1681,07-1961,23</t>
  </si>
  <si>
    <t>&gt;1961,23</t>
  </si>
  <si>
    <t>0-535,84</t>
  </si>
  <si>
    <t>535,85-630,40</t>
  </si>
  <si>
    <t>630,41-945,59</t>
  </si>
  <si>
    <t>945,60-1260,79</t>
  </si>
  <si>
    <t>1260,80-1575,99</t>
  </si>
  <si>
    <t>1576,00-1891,19</t>
  </si>
  <si>
    <t>1891,20-2206,39</t>
  </si>
  <si>
    <t>&gt;2206,39</t>
  </si>
  <si>
    <t>0-595,37</t>
  </si>
  <si>
    <t>595,38-700,44</t>
  </si>
  <si>
    <t>700,45-1050,66</t>
  </si>
  <si>
    <t>1050,67-1400,88</t>
  </si>
  <si>
    <t>1400,89-1751,10</t>
  </si>
  <si>
    <t>1751,11-2101,32</t>
  </si>
  <si>
    <t>2101,33-2451,54</t>
  </si>
  <si>
    <t>&gt;2451,54</t>
  </si>
  <si>
    <t>Number of invalidity pensioners by inalidity percentage, group amount and number of dependants 12/2019</t>
  </si>
  <si>
    <r>
      <rPr>
        <b/>
        <sz val="10"/>
        <rFont val="Arial"/>
        <family val="2"/>
        <charset val="161"/>
      </rPr>
      <t xml:space="preserve"> </t>
    </r>
    <r>
      <rPr>
        <b/>
        <u/>
        <sz val="10"/>
        <rFont val="Arial"/>
        <family val="2"/>
      </rPr>
      <t>Number of invalidity pensioners by invalidity percentage, group amount and number of dependants - December 2019</t>
    </r>
  </si>
  <si>
    <t>0-214,33</t>
  </si>
  <si>
    <t>0-267,92</t>
  </si>
  <si>
    <t>0-303,64</t>
  </si>
  <si>
    <t>214,34-252,16</t>
  </si>
  <si>
    <t>267,93-315,20</t>
  </si>
  <si>
    <t>303,65-357,22</t>
  </si>
  <si>
    <t>252,17-378,24</t>
  </si>
  <si>
    <t>315,21-472,80</t>
  </si>
  <si>
    <t>357,23-535,84</t>
  </si>
  <si>
    <t>378,25-504,32</t>
  </si>
  <si>
    <t>472,81-630,40</t>
  </si>
  <si>
    <t>535,85-714,45</t>
  </si>
  <si>
    <t>504,33-630,40</t>
  </si>
  <si>
    <t>630,41-788,00</t>
  </si>
  <si>
    <t>714,46-893,06</t>
  </si>
  <si>
    <t>630,41-756,48</t>
  </si>
  <si>
    <t>788,01-945,59</t>
  </si>
  <si>
    <t>893,07-1071,67</t>
  </si>
  <si>
    <t>756,49-882,55</t>
  </si>
  <si>
    <t>945,60-1103,19</t>
  </si>
  <si>
    <t>1071,68-1250,29</t>
  </si>
  <si>
    <t>&gt;882,55</t>
  </si>
  <si>
    <t>&gt;1103,19</t>
  </si>
  <si>
    <t>&gt;1250,29</t>
  </si>
  <si>
    <t>0-285,78</t>
  </si>
  <si>
    <t>0-357,22</t>
  </si>
  <si>
    <t>0-404,85</t>
  </si>
  <si>
    <t>285,79-336,21</t>
  </si>
  <si>
    <t>404,86-476,30</t>
  </si>
  <si>
    <t>336,22-504,32</t>
  </si>
  <si>
    <t>476,31-714,45</t>
  </si>
  <si>
    <t>504,33-672,42</t>
  </si>
  <si>
    <t>714,46-952,60</t>
  </si>
  <si>
    <t>672,43-840,53</t>
  </si>
  <si>
    <t>952,61-1190,75</t>
  </si>
  <si>
    <t>840,54-1008,63</t>
  </si>
  <si>
    <t>1190,76-1428,90</t>
  </si>
  <si>
    <t>1008,64-1176,74</t>
  </si>
  <si>
    <t>1428,91-1667,05</t>
  </si>
  <si>
    <t>&gt;1176,74</t>
  </si>
  <si>
    <t>&gt;1667,05</t>
  </si>
  <si>
    <t>0-321,50</t>
  </si>
  <si>
    <t>0-401,88</t>
  </si>
  <si>
    <t>0-455,46</t>
  </si>
  <si>
    <t>321,51-378,24</t>
  </si>
  <si>
    <t>401,89-472,80</t>
  </si>
  <si>
    <t>455,47-535,84</t>
  </si>
  <si>
    <t>378,25-567,36</t>
  </si>
  <si>
    <t>472,81-709,20</t>
  </si>
  <si>
    <t>535,85-803,75</t>
  </si>
  <si>
    <t>567,37-756,48</t>
  </si>
  <si>
    <t>709,21-945,59</t>
  </si>
  <si>
    <t>803,76-1071,67</t>
  </si>
  <si>
    <t>756,49-945,59</t>
  </si>
  <si>
    <t>945,60-1181,99</t>
  </si>
  <si>
    <t>1071,68-1339,59</t>
  </si>
  <si>
    <t>945,60-1134,71</t>
  </si>
  <si>
    <t>1182,00-1418,39</t>
  </si>
  <si>
    <t>1339,60-1607,51</t>
  </si>
  <si>
    <t>1134,72-1323,83</t>
  </si>
  <si>
    <t>1418,40-1654,79</t>
  </si>
  <si>
    <t>1607,52-1875,43</t>
  </si>
  <si>
    <t>&gt;1323,83</t>
  </si>
  <si>
    <t>&gt;1654,79</t>
  </si>
  <si>
    <t>&gt;1875,43</t>
  </si>
  <si>
    <t>0-446,53</t>
  </si>
  <si>
    <t>0-506,07</t>
  </si>
  <si>
    <t>446,54-525,33</t>
  </si>
  <si>
    <t>506,08-595,37</t>
  </si>
  <si>
    <t>525,34-788,00</t>
  </si>
  <si>
    <t>595,38-893,06</t>
  </si>
  <si>
    <t>788,01-1050,66</t>
  </si>
  <si>
    <t>893,07-1190,75</t>
  </si>
  <si>
    <t>1050,67-1313,33</t>
  </si>
  <si>
    <t>1190,76-1488,44</t>
  </si>
  <si>
    <t>1313,34-1575,99</t>
  </si>
  <si>
    <t>1488,45-1786,12</t>
  </si>
  <si>
    <t>1576,00-1838,66</t>
  </si>
  <si>
    <t>1786,13-2083,81</t>
  </si>
  <si>
    <t>&gt;1838,66</t>
  </si>
  <si>
    <t>&gt;2083,81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</si>
</sst>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6" x14ac:knownFonts="1">
    <font>
      <sz val="10"/>
      <name val="Arial"/>
      <charset val="161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2" xfId="0" applyFont="1" applyBorder="1" applyAlignment="1">
      <alignment vertical="top" wrapText="1"/>
    </xf>
    <xf numFmtId="0" fontId="2" fillId="0" borderId="14" xfId="0" applyFont="1" applyBorder="1"/>
    <xf numFmtId="0" fontId="2" fillId="0" borderId="15" xfId="0" applyFont="1" applyBorder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2" xfId="0" applyFont="1" applyBorder="1"/>
    <xf numFmtId="0" fontId="1" fillId="0" borderId="13" xfId="0" applyFont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" xfId="0" applyFont="1" applyBorder="1"/>
    <xf numFmtId="0" fontId="1" fillId="0" borderId="23" xfId="0" applyFont="1" applyBorder="1"/>
    <xf numFmtId="0" fontId="2" fillId="0" borderId="23" xfId="0" applyFont="1" applyBorder="1"/>
    <xf numFmtId="0" fontId="2" fillId="0" borderId="24" xfId="0" applyFont="1" applyBorder="1"/>
    <xf numFmtId="0" fontId="1" fillId="0" borderId="0" xfId="0" applyFont="1" applyAlignment="1"/>
    <xf numFmtId="0" fontId="2" fillId="0" borderId="25" xfId="0" applyFont="1" applyBorder="1"/>
    <xf numFmtId="0" fontId="2" fillId="0" borderId="26" xfId="0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7" zoomScaleNormal="100" workbookViewId="0">
      <selection activeCell="A46" sqref="A46"/>
    </sheetView>
  </sheetViews>
  <sheetFormatPr defaultRowHeight="12" x14ac:dyDescent="0.2"/>
  <cols>
    <col min="1" max="1" width="11.140625" style="1" customWidth="1"/>
    <col min="2" max="2" width="14.85546875" style="1" bestFit="1" customWidth="1"/>
    <col min="3" max="3" width="12.28515625" style="1" customWidth="1"/>
    <col min="4" max="5" width="10" style="1" customWidth="1"/>
    <col min="6" max="6" width="7.7109375" style="1" bestFit="1" customWidth="1"/>
    <col min="7" max="16384" width="9.140625" style="1"/>
  </cols>
  <sheetData>
    <row r="1" spans="1:6" ht="40.5" customHeight="1" x14ac:dyDescent="0.2">
      <c r="A1" s="38" t="s">
        <v>150</v>
      </c>
      <c r="B1" s="38"/>
      <c r="C1" s="38"/>
      <c r="D1" s="38"/>
      <c r="E1" s="38"/>
      <c r="F1" s="38"/>
    </row>
    <row r="2" spans="1:6" ht="12.75" thickBot="1" x14ac:dyDescent="0.25"/>
    <row r="3" spans="1:6" x14ac:dyDescent="0.2">
      <c r="A3" s="42"/>
      <c r="B3" s="45" t="s">
        <v>40</v>
      </c>
      <c r="C3" s="48" t="s">
        <v>36</v>
      </c>
      <c r="D3" s="48"/>
      <c r="E3" s="48"/>
      <c r="F3" s="49" t="s">
        <v>39</v>
      </c>
    </row>
    <row r="4" spans="1:6" ht="12" customHeight="1" x14ac:dyDescent="0.2">
      <c r="A4" s="43"/>
      <c r="B4" s="46"/>
      <c r="C4" s="52" t="s">
        <v>47</v>
      </c>
      <c r="D4" s="52" t="s">
        <v>37</v>
      </c>
      <c r="E4" s="52" t="s">
        <v>38</v>
      </c>
      <c r="F4" s="50"/>
    </row>
    <row r="5" spans="1:6" ht="30" customHeight="1" thickBot="1" x14ac:dyDescent="0.25">
      <c r="A5" s="44"/>
      <c r="B5" s="47"/>
      <c r="C5" s="53"/>
      <c r="D5" s="53"/>
      <c r="E5" s="53"/>
      <c r="F5" s="51"/>
    </row>
    <row r="6" spans="1:6" ht="12" customHeight="1" x14ac:dyDescent="0.2">
      <c r="A6" s="39" t="s">
        <v>41</v>
      </c>
      <c r="B6" s="2" t="s">
        <v>0</v>
      </c>
      <c r="C6" s="2">
        <f>13032+24</f>
        <v>13056</v>
      </c>
      <c r="D6" s="2">
        <v>3480</v>
      </c>
      <c r="E6" s="2">
        <v>386</v>
      </c>
      <c r="F6" s="3">
        <f t="shared" ref="F6:F42" si="0">SUM(C6:E6)</f>
        <v>16922</v>
      </c>
    </row>
    <row r="7" spans="1:6" x14ac:dyDescent="0.2">
      <c r="A7" s="40"/>
      <c r="B7" s="4" t="s">
        <v>14</v>
      </c>
      <c r="C7" s="4">
        <f>14544+23</f>
        <v>14567</v>
      </c>
      <c r="D7" s="4">
        <f>5706+101</f>
        <v>5807</v>
      </c>
      <c r="E7" s="4">
        <v>16</v>
      </c>
      <c r="F7" s="5">
        <f t="shared" si="0"/>
        <v>20390</v>
      </c>
    </row>
    <row r="8" spans="1:6" x14ac:dyDescent="0.2">
      <c r="A8" s="40"/>
      <c r="B8" s="4" t="s">
        <v>10</v>
      </c>
      <c r="C8" s="4">
        <f>17060+180</f>
        <v>17240</v>
      </c>
      <c r="D8" s="4">
        <f>14332+74</f>
        <v>14406</v>
      </c>
      <c r="E8" s="4">
        <v>43</v>
      </c>
      <c r="F8" s="5">
        <f t="shared" si="0"/>
        <v>31689</v>
      </c>
    </row>
    <row r="9" spans="1:6" x14ac:dyDescent="0.2">
      <c r="A9" s="40"/>
      <c r="B9" s="4" t="s">
        <v>11</v>
      </c>
      <c r="C9" s="4">
        <f>8404+147</f>
        <v>8551</v>
      </c>
      <c r="D9" s="4">
        <f>2821+63</f>
        <v>2884</v>
      </c>
      <c r="E9" s="4">
        <v>34</v>
      </c>
      <c r="F9" s="5">
        <f t="shared" si="0"/>
        <v>11469</v>
      </c>
    </row>
    <row r="10" spans="1:6" x14ac:dyDescent="0.2">
      <c r="A10" s="40"/>
      <c r="B10" s="4" t="s">
        <v>12</v>
      </c>
      <c r="C10" s="4">
        <f>5111+65</f>
        <v>5176</v>
      </c>
      <c r="D10" s="4">
        <f>961+16</f>
        <v>977</v>
      </c>
      <c r="E10" s="4">
        <v>17</v>
      </c>
      <c r="F10" s="5">
        <f t="shared" si="0"/>
        <v>6170</v>
      </c>
    </row>
    <row r="11" spans="1:6" x14ac:dyDescent="0.2">
      <c r="A11" s="40"/>
      <c r="B11" s="4" t="s">
        <v>13</v>
      </c>
      <c r="C11" s="4">
        <f>4102+30</f>
        <v>4132</v>
      </c>
      <c r="D11" s="4">
        <f>304+3</f>
        <v>307</v>
      </c>
      <c r="E11" s="4">
        <v>7</v>
      </c>
      <c r="F11" s="5">
        <f t="shared" si="0"/>
        <v>4446</v>
      </c>
    </row>
    <row r="12" spans="1:6" x14ac:dyDescent="0.2">
      <c r="A12" s="40"/>
      <c r="B12" s="4" t="s">
        <v>1</v>
      </c>
      <c r="C12" s="4">
        <f>2685+12</f>
        <v>2697</v>
      </c>
      <c r="D12" s="4">
        <f>49+7</f>
        <v>56</v>
      </c>
      <c r="E12" s="4">
        <v>3</v>
      </c>
      <c r="F12" s="5">
        <f t="shared" si="0"/>
        <v>2756</v>
      </c>
    </row>
    <row r="13" spans="1:6" x14ac:dyDescent="0.2">
      <c r="A13" s="40"/>
      <c r="B13" s="4" t="s">
        <v>2</v>
      </c>
      <c r="C13" s="4">
        <f>2411+2</f>
        <v>2413</v>
      </c>
      <c r="D13" s="4">
        <f>6+3</f>
        <v>9</v>
      </c>
      <c r="E13" s="4">
        <v>3</v>
      </c>
      <c r="F13" s="5">
        <f t="shared" si="0"/>
        <v>2425</v>
      </c>
    </row>
    <row r="14" spans="1:6" x14ac:dyDescent="0.2">
      <c r="A14" s="40"/>
      <c r="B14" s="6" t="s">
        <v>39</v>
      </c>
      <c r="C14" s="6">
        <f>SUM(C6:C13)</f>
        <v>67832</v>
      </c>
      <c r="D14" s="6">
        <f>SUM(D6:D13)</f>
        <v>27926</v>
      </c>
      <c r="E14" s="6">
        <f>SUM(E6:E13)</f>
        <v>509</v>
      </c>
      <c r="F14" s="7">
        <f t="shared" si="0"/>
        <v>96267</v>
      </c>
    </row>
    <row r="15" spans="1:6" ht="12" customHeight="1" x14ac:dyDescent="0.2">
      <c r="A15" s="40" t="s">
        <v>42</v>
      </c>
      <c r="B15" s="4" t="s">
        <v>4</v>
      </c>
      <c r="C15" s="4">
        <f>7126+74</f>
        <v>7200</v>
      </c>
      <c r="D15" s="4">
        <v>121</v>
      </c>
      <c r="E15" s="4">
        <v>214</v>
      </c>
      <c r="F15" s="5">
        <f t="shared" si="0"/>
        <v>7535</v>
      </c>
    </row>
    <row r="16" spans="1:6" x14ac:dyDescent="0.2">
      <c r="A16" s="40"/>
      <c r="B16" s="4" t="s">
        <v>15</v>
      </c>
      <c r="C16" s="4">
        <f>4314+78</f>
        <v>4392</v>
      </c>
      <c r="D16" s="4">
        <f>119+1</f>
        <v>120</v>
      </c>
      <c r="E16" s="4">
        <v>10</v>
      </c>
      <c r="F16" s="5">
        <f t="shared" si="0"/>
        <v>4522</v>
      </c>
    </row>
    <row r="17" spans="1:6" x14ac:dyDescent="0.2">
      <c r="A17" s="40"/>
      <c r="B17" s="4" t="s">
        <v>16</v>
      </c>
      <c r="C17" s="4">
        <f>7912+141</f>
        <v>8053</v>
      </c>
      <c r="D17" s="4">
        <f>389+6</f>
        <v>395</v>
      </c>
      <c r="E17" s="4">
        <v>39</v>
      </c>
      <c r="F17" s="5">
        <f t="shared" si="0"/>
        <v>8487</v>
      </c>
    </row>
    <row r="18" spans="1:6" x14ac:dyDescent="0.2">
      <c r="A18" s="40"/>
      <c r="B18" s="4" t="s">
        <v>17</v>
      </c>
      <c r="C18" s="4">
        <f>4492+83</f>
        <v>4575</v>
      </c>
      <c r="D18" s="4">
        <f>140+6</f>
        <v>146</v>
      </c>
      <c r="E18" s="4">
        <v>23</v>
      </c>
      <c r="F18" s="5">
        <f t="shared" si="0"/>
        <v>4744</v>
      </c>
    </row>
    <row r="19" spans="1:6" x14ac:dyDescent="0.2">
      <c r="A19" s="40"/>
      <c r="B19" s="4" t="s">
        <v>18</v>
      </c>
      <c r="C19" s="4">
        <f>3124+62</f>
        <v>3186</v>
      </c>
      <c r="D19" s="4">
        <f>60+5</f>
        <v>65</v>
      </c>
      <c r="E19" s="4">
        <v>15</v>
      </c>
      <c r="F19" s="5">
        <f t="shared" si="0"/>
        <v>3266</v>
      </c>
    </row>
    <row r="20" spans="1:6" x14ac:dyDescent="0.2">
      <c r="A20" s="40"/>
      <c r="B20" s="4" t="s">
        <v>19</v>
      </c>
      <c r="C20" s="4">
        <f>2036+20</f>
        <v>2056</v>
      </c>
      <c r="D20" s="4">
        <f>16+5</f>
        <v>21</v>
      </c>
      <c r="E20" s="4">
        <v>2</v>
      </c>
      <c r="F20" s="5">
        <f t="shared" si="0"/>
        <v>2079</v>
      </c>
    </row>
    <row r="21" spans="1:6" x14ac:dyDescent="0.2">
      <c r="A21" s="40"/>
      <c r="B21" s="4" t="s">
        <v>20</v>
      </c>
      <c r="C21" s="4">
        <f>1278+1</f>
        <v>1279</v>
      </c>
      <c r="D21" s="4">
        <v>0</v>
      </c>
      <c r="E21" s="4">
        <v>1</v>
      </c>
      <c r="F21" s="5">
        <f t="shared" si="0"/>
        <v>1280</v>
      </c>
    </row>
    <row r="22" spans="1:6" x14ac:dyDescent="0.2">
      <c r="A22" s="40"/>
      <c r="B22" s="4" t="s">
        <v>5</v>
      </c>
      <c r="C22" s="4">
        <v>207</v>
      </c>
      <c r="D22" s="4">
        <v>0</v>
      </c>
      <c r="E22" s="4">
        <v>2</v>
      </c>
      <c r="F22" s="5">
        <f t="shared" si="0"/>
        <v>209</v>
      </c>
    </row>
    <row r="23" spans="1:6" x14ac:dyDescent="0.2">
      <c r="A23" s="40"/>
      <c r="B23" s="6" t="s">
        <v>39</v>
      </c>
      <c r="C23" s="6">
        <f>SUM(C15:C22)</f>
        <v>30948</v>
      </c>
      <c r="D23" s="6">
        <f>SUM(D15:D22)</f>
        <v>868</v>
      </c>
      <c r="E23" s="6">
        <f>SUM(E15:E22)</f>
        <v>306</v>
      </c>
      <c r="F23" s="7">
        <f t="shared" si="0"/>
        <v>32122</v>
      </c>
    </row>
    <row r="24" spans="1:6" ht="12" customHeight="1" x14ac:dyDescent="0.2">
      <c r="A24" s="40" t="s">
        <v>43</v>
      </c>
      <c r="B24" s="4" t="s">
        <v>6</v>
      </c>
      <c r="C24" s="4">
        <v>139</v>
      </c>
      <c r="D24" s="4">
        <v>43</v>
      </c>
      <c r="E24" s="4">
        <v>67</v>
      </c>
      <c r="F24" s="5">
        <f t="shared" si="0"/>
        <v>249</v>
      </c>
    </row>
    <row r="25" spans="1:6" x14ac:dyDescent="0.2">
      <c r="A25" s="40"/>
      <c r="B25" s="4" t="s">
        <v>21</v>
      </c>
      <c r="C25" s="4">
        <v>76</v>
      </c>
      <c r="D25" s="4">
        <v>34</v>
      </c>
      <c r="E25" s="4">
        <v>7</v>
      </c>
      <c r="F25" s="5">
        <f t="shared" si="0"/>
        <v>117</v>
      </c>
    </row>
    <row r="26" spans="1:6" x14ac:dyDescent="0.2">
      <c r="A26" s="40"/>
      <c r="B26" s="4" t="s">
        <v>22</v>
      </c>
      <c r="C26" s="4">
        <f>317+7</f>
        <v>324</v>
      </c>
      <c r="D26" s="4">
        <f>101+5</f>
        <v>106</v>
      </c>
      <c r="E26" s="4">
        <v>19</v>
      </c>
      <c r="F26" s="5">
        <f t="shared" si="0"/>
        <v>449</v>
      </c>
    </row>
    <row r="27" spans="1:6" x14ac:dyDescent="0.2">
      <c r="A27" s="40"/>
      <c r="B27" s="4" t="s">
        <v>23</v>
      </c>
      <c r="C27" s="4">
        <f>164+2</f>
        <v>166</v>
      </c>
      <c r="D27" s="4">
        <f>68+3</f>
        <v>71</v>
      </c>
      <c r="E27" s="4">
        <v>8</v>
      </c>
      <c r="F27" s="5">
        <f t="shared" si="0"/>
        <v>245</v>
      </c>
    </row>
    <row r="28" spans="1:6" x14ac:dyDescent="0.2">
      <c r="A28" s="40"/>
      <c r="B28" s="4" t="s">
        <v>24</v>
      </c>
      <c r="C28" s="4">
        <f>145+1</f>
        <v>146</v>
      </c>
      <c r="D28" s="4">
        <f>34+2</f>
        <v>36</v>
      </c>
      <c r="E28" s="4">
        <v>1</v>
      </c>
      <c r="F28" s="5">
        <f t="shared" si="0"/>
        <v>183</v>
      </c>
    </row>
    <row r="29" spans="1:6" x14ac:dyDescent="0.2">
      <c r="A29" s="40"/>
      <c r="B29" s="4" t="s">
        <v>25</v>
      </c>
      <c r="C29" s="4">
        <f>112+1</f>
        <v>113</v>
      </c>
      <c r="D29" s="4">
        <f>10+1</f>
        <v>11</v>
      </c>
      <c r="E29" s="4">
        <v>0</v>
      </c>
      <c r="F29" s="5">
        <f t="shared" si="0"/>
        <v>124</v>
      </c>
    </row>
    <row r="30" spans="1:6" x14ac:dyDescent="0.2">
      <c r="A30" s="40"/>
      <c r="B30" s="4" t="s">
        <v>26</v>
      </c>
      <c r="C30" s="4">
        <v>48</v>
      </c>
      <c r="D30" s="4">
        <v>0</v>
      </c>
      <c r="E30" s="4">
        <v>1</v>
      </c>
      <c r="F30" s="5">
        <f t="shared" si="0"/>
        <v>49</v>
      </c>
    </row>
    <row r="31" spans="1:6" x14ac:dyDescent="0.2">
      <c r="A31" s="40"/>
      <c r="B31" s="4" t="s">
        <v>7</v>
      </c>
      <c r="C31" s="4">
        <v>0</v>
      </c>
      <c r="D31" s="4">
        <v>0</v>
      </c>
      <c r="E31" s="4">
        <v>0</v>
      </c>
      <c r="F31" s="5">
        <f t="shared" si="0"/>
        <v>0</v>
      </c>
    </row>
    <row r="32" spans="1:6" x14ac:dyDescent="0.2">
      <c r="A32" s="40"/>
      <c r="B32" s="6" t="s">
        <v>39</v>
      </c>
      <c r="C32" s="6">
        <f>SUM(C24:C31)</f>
        <v>1012</v>
      </c>
      <c r="D32" s="6">
        <f>SUM(D24:D31)</f>
        <v>301</v>
      </c>
      <c r="E32" s="6">
        <f>SUM(E24:E31)</f>
        <v>103</v>
      </c>
      <c r="F32" s="7">
        <f t="shared" si="0"/>
        <v>1416</v>
      </c>
    </row>
    <row r="33" spans="1:6" ht="12" customHeight="1" x14ac:dyDescent="0.2">
      <c r="A33" s="40" t="s">
        <v>44</v>
      </c>
      <c r="B33" s="4" t="s">
        <v>8</v>
      </c>
      <c r="C33" s="4">
        <v>38</v>
      </c>
      <c r="D33" s="4">
        <v>18</v>
      </c>
      <c r="E33" s="4">
        <v>51</v>
      </c>
      <c r="F33" s="5">
        <f t="shared" si="0"/>
        <v>107</v>
      </c>
    </row>
    <row r="34" spans="1:6" x14ac:dyDescent="0.2">
      <c r="A34" s="40"/>
      <c r="B34" s="4" t="s">
        <v>27</v>
      </c>
      <c r="C34" s="4">
        <v>15</v>
      </c>
      <c r="D34" s="4">
        <v>1</v>
      </c>
      <c r="E34" s="4">
        <v>4</v>
      </c>
      <c r="F34" s="5">
        <f t="shared" si="0"/>
        <v>20</v>
      </c>
    </row>
    <row r="35" spans="1:6" x14ac:dyDescent="0.2">
      <c r="A35" s="40"/>
      <c r="B35" s="4" t="s">
        <v>28</v>
      </c>
      <c r="C35" s="4">
        <v>53</v>
      </c>
      <c r="D35" s="4">
        <f>36+1</f>
        <v>37</v>
      </c>
      <c r="E35" s="4">
        <v>16</v>
      </c>
      <c r="F35" s="5">
        <f t="shared" si="0"/>
        <v>106</v>
      </c>
    </row>
    <row r="36" spans="1:6" x14ac:dyDescent="0.2">
      <c r="A36" s="40"/>
      <c r="B36" s="4" t="s">
        <v>29</v>
      </c>
      <c r="C36" s="4">
        <v>22</v>
      </c>
      <c r="D36" s="4">
        <f>19+1</f>
        <v>20</v>
      </c>
      <c r="E36" s="4">
        <v>5</v>
      </c>
      <c r="F36" s="5">
        <f t="shared" si="0"/>
        <v>47</v>
      </c>
    </row>
    <row r="37" spans="1:6" x14ac:dyDescent="0.2">
      <c r="A37" s="40"/>
      <c r="B37" s="4" t="s">
        <v>30</v>
      </c>
      <c r="C37" s="4">
        <f>24+1</f>
        <v>25</v>
      </c>
      <c r="D37" s="4">
        <f>4+2</f>
        <v>6</v>
      </c>
      <c r="E37" s="4">
        <v>0</v>
      </c>
      <c r="F37" s="5">
        <f t="shared" si="0"/>
        <v>31</v>
      </c>
    </row>
    <row r="38" spans="1:6" x14ac:dyDescent="0.2">
      <c r="A38" s="40"/>
      <c r="B38" s="4" t="s">
        <v>31</v>
      </c>
      <c r="C38" s="4">
        <v>26</v>
      </c>
      <c r="D38" s="4">
        <f>1+1</f>
        <v>2</v>
      </c>
      <c r="E38" s="4">
        <v>0</v>
      </c>
      <c r="F38" s="5">
        <f t="shared" si="0"/>
        <v>28</v>
      </c>
    </row>
    <row r="39" spans="1:6" x14ac:dyDescent="0.2">
      <c r="A39" s="40"/>
      <c r="B39" s="4" t="s">
        <v>32</v>
      </c>
      <c r="C39" s="4">
        <v>3</v>
      </c>
      <c r="D39" s="4">
        <v>0</v>
      </c>
      <c r="E39" s="4">
        <v>0</v>
      </c>
      <c r="F39" s="5">
        <f t="shared" si="0"/>
        <v>3</v>
      </c>
    </row>
    <row r="40" spans="1:6" x14ac:dyDescent="0.2">
      <c r="A40" s="40"/>
      <c r="B40" s="4" t="s">
        <v>9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1"/>
      <c r="B41" s="8" t="s">
        <v>39</v>
      </c>
      <c r="C41" s="8">
        <f>SUM(C33:C40)</f>
        <v>182</v>
      </c>
      <c r="D41" s="8">
        <f>SUM(D33:D40)</f>
        <v>84</v>
      </c>
      <c r="E41" s="8">
        <f>SUM(E33:E40)</f>
        <v>76</v>
      </c>
      <c r="F41" s="9">
        <f t="shared" si="0"/>
        <v>342</v>
      </c>
    </row>
    <row r="42" spans="1:6" ht="12.75" thickBot="1" x14ac:dyDescent="0.25">
      <c r="A42" s="10" t="s">
        <v>39</v>
      </c>
      <c r="B42" s="11"/>
      <c r="C42" s="11">
        <f>C14+C23+C32+C41</f>
        <v>99974</v>
      </c>
      <c r="D42" s="11">
        <f>D14+D23+D32+D41</f>
        <v>29179</v>
      </c>
      <c r="E42" s="11">
        <f>E14+E23+E32+E41</f>
        <v>994</v>
      </c>
      <c r="F42" s="12">
        <f t="shared" si="0"/>
        <v>130147</v>
      </c>
    </row>
    <row r="43" spans="1:6" x14ac:dyDescent="0.2">
      <c r="A43" s="18"/>
      <c r="B43" s="19"/>
      <c r="C43" s="19"/>
      <c r="D43" s="19"/>
      <c r="E43" s="19"/>
      <c r="F43" s="19"/>
    </row>
    <row r="45" spans="1:6" ht="24.75" customHeight="1" x14ac:dyDescent="0.2">
      <c r="A45" s="35" t="s">
        <v>154</v>
      </c>
      <c r="B45" s="35"/>
      <c r="C45" s="35"/>
      <c r="D45" s="35"/>
      <c r="E45" s="35"/>
      <c r="F45" s="35"/>
    </row>
    <row r="46" spans="1:6" x14ac:dyDescent="0.2">
      <c r="A46" s="13">
        <v>43077</v>
      </c>
    </row>
    <row r="47" spans="1:6" x14ac:dyDescent="0.2">
      <c r="A47" s="36" t="s">
        <v>35</v>
      </c>
      <c r="B47" s="36"/>
      <c r="C47" s="36"/>
    </row>
    <row r="49" spans="1:7" x14ac:dyDescent="0.2">
      <c r="D49" s="37" t="s">
        <v>45</v>
      </c>
      <c r="E49" s="37"/>
      <c r="F49" s="37"/>
      <c r="G49" s="14"/>
    </row>
    <row r="50" spans="1:7" x14ac:dyDescent="0.2">
      <c r="D50" s="37" t="s">
        <v>46</v>
      </c>
      <c r="E50" s="37"/>
      <c r="F50" s="37"/>
      <c r="G50" s="14"/>
    </row>
    <row r="54" spans="1:7" x14ac:dyDescent="0.2">
      <c r="A54" s="15"/>
    </row>
  </sheetData>
  <mergeCells count="16">
    <mergeCell ref="A45:F45"/>
    <mergeCell ref="A47:C47"/>
    <mergeCell ref="D49:F49"/>
    <mergeCell ref="D50:F50"/>
    <mergeCell ref="A1:F1"/>
    <mergeCell ref="A6:A14"/>
    <mergeCell ref="A15:A23"/>
    <mergeCell ref="A24:A32"/>
    <mergeCell ref="A33:A4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0" zoomScaleNormal="100" zoomScaleSheetLayoutView="100" workbookViewId="0">
      <selection activeCell="J45" sqref="J45"/>
    </sheetView>
  </sheetViews>
  <sheetFormatPr defaultRowHeight="12" x14ac:dyDescent="0.2"/>
  <cols>
    <col min="1" max="1" width="11.140625" style="1" customWidth="1"/>
    <col min="2" max="2" width="14.7109375" style="1" customWidth="1"/>
    <col min="3" max="3" width="12.5703125" style="1" customWidth="1"/>
    <col min="4" max="4" width="14.7109375" style="1" customWidth="1"/>
    <col min="5" max="5" width="12.5703125" style="1" customWidth="1"/>
    <col min="6" max="6" width="14.140625" style="1" customWidth="1"/>
    <col min="7" max="7" width="12.140625" style="1" customWidth="1"/>
    <col min="8" max="8" width="15.140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6" t="s">
        <v>193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 thickBot="1" x14ac:dyDescent="0.25"/>
    <row r="3" spans="1:10" ht="12" customHeight="1" x14ac:dyDescent="0.2">
      <c r="A3" s="42"/>
      <c r="B3" s="58" t="s">
        <v>49</v>
      </c>
      <c r="C3" s="58" t="s">
        <v>50</v>
      </c>
      <c r="D3" s="58" t="s">
        <v>51</v>
      </c>
      <c r="E3" s="58" t="s">
        <v>50</v>
      </c>
      <c r="F3" s="58" t="s">
        <v>52</v>
      </c>
      <c r="G3" s="58" t="s">
        <v>50</v>
      </c>
      <c r="H3" s="58" t="s">
        <v>53</v>
      </c>
      <c r="I3" s="58" t="s">
        <v>50</v>
      </c>
      <c r="J3" s="65" t="s">
        <v>39</v>
      </c>
    </row>
    <row r="4" spans="1:10" x14ac:dyDescent="0.2">
      <c r="A4" s="43"/>
      <c r="B4" s="59"/>
      <c r="C4" s="59"/>
      <c r="D4" s="59"/>
      <c r="E4" s="59"/>
      <c r="F4" s="59"/>
      <c r="G4" s="59"/>
      <c r="H4" s="59"/>
      <c r="I4" s="59"/>
      <c r="J4" s="66"/>
    </row>
    <row r="5" spans="1:10" ht="12.75" thickBot="1" x14ac:dyDescent="0.25">
      <c r="A5" s="44"/>
      <c r="B5" s="60"/>
      <c r="C5" s="60"/>
      <c r="D5" s="60"/>
      <c r="E5" s="60"/>
      <c r="F5" s="60"/>
      <c r="G5" s="60"/>
      <c r="H5" s="60"/>
      <c r="I5" s="60"/>
      <c r="J5" s="67"/>
    </row>
    <row r="6" spans="1:10" ht="12" customHeight="1" x14ac:dyDescent="0.2">
      <c r="A6" s="39" t="s">
        <v>41</v>
      </c>
      <c r="B6" s="21" t="s">
        <v>195</v>
      </c>
      <c r="C6" s="2">
        <v>2</v>
      </c>
      <c r="D6" s="2" t="s">
        <v>196</v>
      </c>
      <c r="E6" s="2">
        <v>390</v>
      </c>
      <c r="F6" s="2" t="s">
        <v>197</v>
      </c>
      <c r="G6" s="2">
        <v>78</v>
      </c>
      <c r="H6" s="2" t="s">
        <v>161</v>
      </c>
      <c r="I6" s="2">
        <v>94</v>
      </c>
      <c r="J6" s="64"/>
    </row>
    <row r="7" spans="1:10" x14ac:dyDescent="0.2">
      <c r="A7" s="40"/>
      <c r="B7" s="22" t="s">
        <v>198</v>
      </c>
      <c r="C7" s="4">
        <v>3</v>
      </c>
      <c r="D7" s="4" t="s">
        <v>199</v>
      </c>
      <c r="E7" s="4">
        <v>254</v>
      </c>
      <c r="F7" s="4" t="s">
        <v>200</v>
      </c>
      <c r="G7" s="4">
        <v>61</v>
      </c>
      <c r="H7" s="4" t="s">
        <v>162</v>
      </c>
      <c r="I7" s="4">
        <v>81</v>
      </c>
      <c r="J7" s="54"/>
    </row>
    <row r="8" spans="1:10" x14ac:dyDescent="0.2">
      <c r="A8" s="40"/>
      <c r="B8" s="22" t="s">
        <v>201</v>
      </c>
      <c r="C8" s="4">
        <v>15</v>
      </c>
      <c r="D8" s="4" t="s">
        <v>202</v>
      </c>
      <c r="E8" s="4">
        <v>551</v>
      </c>
      <c r="F8" s="4" t="s">
        <v>203</v>
      </c>
      <c r="G8" s="4">
        <v>148</v>
      </c>
      <c r="H8" s="4" t="s">
        <v>163</v>
      </c>
      <c r="I8" s="4">
        <v>140</v>
      </c>
      <c r="J8" s="54"/>
    </row>
    <row r="9" spans="1:10" x14ac:dyDescent="0.2">
      <c r="A9" s="40"/>
      <c r="B9" s="22" t="s">
        <v>204</v>
      </c>
      <c r="C9" s="4">
        <v>4</v>
      </c>
      <c r="D9" s="4" t="s">
        <v>205</v>
      </c>
      <c r="E9" s="4">
        <v>273</v>
      </c>
      <c r="F9" s="4" t="s">
        <v>206</v>
      </c>
      <c r="G9" s="4">
        <v>62</v>
      </c>
      <c r="H9" s="4" t="s">
        <v>164</v>
      </c>
      <c r="I9" s="4">
        <v>61</v>
      </c>
      <c r="J9" s="54"/>
    </row>
    <row r="10" spans="1:10" x14ac:dyDescent="0.2">
      <c r="A10" s="40"/>
      <c r="B10" s="22" t="s">
        <v>207</v>
      </c>
      <c r="C10" s="4">
        <v>3</v>
      </c>
      <c r="D10" s="4" t="s">
        <v>208</v>
      </c>
      <c r="E10" s="4">
        <v>145</v>
      </c>
      <c r="F10" s="4" t="s">
        <v>209</v>
      </c>
      <c r="G10" s="4">
        <v>42</v>
      </c>
      <c r="H10" s="4" t="s">
        <v>165</v>
      </c>
      <c r="I10" s="4">
        <v>39</v>
      </c>
      <c r="J10" s="54"/>
    </row>
    <row r="11" spans="1:10" x14ac:dyDescent="0.2">
      <c r="A11" s="40"/>
      <c r="B11" s="22" t="s">
        <v>210</v>
      </c>
      <c r="C11" s="4">
        <v>2</v>
      </c>
      <c r="D11" s="4" t="s">
        <v>211</v>
      </c>
      <c r="E11" s="4">
        <v>84</v>
      </c>
      <c r="F11" s="4" t="s">
        <v>212</v>
      </c>
      <c r="G11" s="4">
        <v>20</v>
      </c>
      <c r="H11" s="4" t="s">
        <v>166</v>
      </c>
      <c r="I11" s="4">
        <v>22</v>
      </c>
      <c r="J11" s="54"/>
    </row>
    <row r="12" spans="1:10" x14ac:dyDescent="0.2">
      <c r="A12" s="40"/>
      <c r="B12" s="22" t="s">
        <v>213</v>
      </c>
      <c r="C12" s="4">
        <v>1</v>
      </c>
      <c r="D12" s="4" t="s">
        <v>214</v>
      </c>
      <c r="E12" s="4">
        <v>49</v>
      </c>
      <c r="F12" s="4" t="s">
        <v>215</v>
      </c>
      <c r="G12" s="4">
        <v>8</v>
      </c>
      <c r="H12" s="4" t="s">
        <v>167</v>
      </c>
      <c r="I12" s="4">
        <v>10</v>
      </c>
      <c r="J12" s="54"/>
    </row>
    <row r="13" spans="1:10" x14ac:dyDescent="0.2">
      <c r="A13" s="40"/>
      <c r="B13" s="22" t="s">
        <v>216</v>
      </c>
      <c r="C13" s="4">
        <v>0</v>
      </c>
      <c r="D13" s="4" t="s">
        <v>217</v>
      </c>
      <c r="E13" s="4">
        <v>73</v>
      </c>
      <c r="F13" s="4" t="s">
        <v>218</v>
      </c>
      <c r="G13" s="4">
        <v>20</v>
      </c>
      <c r="H13" s="4" t="s">
        <v>168</v>
      </c>
      <c r="I13" s="4">
        <v>18</v>
      </c>
      <c r="J13" s="54"/>
    </row>
    <row r="14" spans="1:10" ht="12.75" thickBot="1" x14ac:dyDescent="0.25">
      <c r="A14" s="40"/>
      <c r="B14" s="23" t="s">
        <v>39</v>
      </c>
      <c r="C14" s="6">
        <f>SUM(C6:C13)</f>
        <v>30</v>
      </c>
      <c r="D14" s="6"/>
      <c r="E14" s="6">
        <f>SUM(E6:E13)</f>
        <v>1819</v>
      </c>
      <c r="F14" s="6"/>
      <c r="G14" s="6">
        <f>SUM(G6:G13)</f>
        <v>439</v>
      </c>
      <c r="H14" s="6"/>
      <c r="I14" s="6">
        <f>SUM(I6:I13)</f>
        <v>465</v>
      </c>
      <c r="J14" s="7">
        <f>C14+E14+G14+I14</f>
        <v>2753</v>
      </c>
    </row>
    <row r="15" spans="1:10" ht="12" customHeight="1" x14ac:dyDescent="0.2">
      <c r="A15" s="39" t="s">
        <v>42</v>
      </c>
      <c r="B15" s="22" t="s">
        <v>219</v>
      </c>
      <c r="C15" s="4">
        <v>0</v>
      </c>
      <c r="D15" s="4" t="s">
        <v>220</v>
      </c>
      <c r="E15" s="4">
        <v>110</v>
      </c>
      <c r="F15" s="4" t="s">
        <v>221</v>
      </c>
      <c r="G15" s="4">
        <v>26</v>
      </c>
      <c r="H15" s="4" t="s">
        <v>169</v>
      </c>
      <c r="I15" s="4">
        <v>22</v>
      </c>
      <c r="J15" s="54"/>
    </row>
    <row r="16" spans="1:10" x14ac:dyDescent="0.2">
      <c r="A16" s="40"/>
      <c r="B16" s="22" t="s">
        <v>222</v>
      </c>
      <c r="C16" s="4">
        <v>2</v>
      </c>
      <c r="D16" s="4" t="s">
        <v>223</v>
      </c>
      <c r="E16" s="4">
        <v>136</v>
      </c>
      <c r="F16" s="4" t="s">
        <v>224</v>
      </c>
      <c r="G16" s="4">
        <v>38</v>
      </c>
      <c r="H16" s="4" t="s">
        <v>170</v>
      </c>
      <c r="I16" s="4">
        <v>26</v>
      </c>
      <c r="J16" s="54"/>
    </row>
    <row r="17" spans="1:10" x14ac:dyDescent="0.2">
      <c r="A17" s="40"/>
      <c r="B17" s="22" t="s">
        <v>225</v>
      </c>
      <c r="C17" s="4">
        <v>7</v>
      </c>
      <c r="D17" s="4" t="s">
        <v>226</v>
      </c>
      <c r="E17" s="4">
        <v>394</v>
      </c>
      <c r="F17" s="4" t="s">
        <v>227</v>
      </c>
      <c r="G17" s="4">
        <v>69</v>
      </c>
      <c r="H17" s="4" t="s">
        <v>171</v>
      </c>
      <c r="I17" s="4">
        <v>72</v>
      </c>
      <c r="J17" s="54"/>
    </row>
    <row r="18" spans="1:10" x14ac:dyDescent="0.2">
      <c r="A18" s="40"/>
      <c r="B18" s="22" t="s">
        <v>228</v>
      </c>
      <c r="C18" s="4">
        <v>4</v>
      </c>
      <c r="D18" s="4" t="s">
        <v>229</v>
      </c>
      <c r="E18" s="4">
        <v>256</v>
      </c>
      <c r="F18" s="4" t="s">
        <v>230</v>
      </c>
      <c r="G18" s="4">
        <v>51</v>
      </c>
      <c r="H18" s="4" t="s">
        <v>172</v>
      </c>
      <c r="I18" s="4">
        <v>55</v>
      </c>
      <c r="J18" s="54"/>
    </row>
    <row r="19" spans="1:10" x14ac:dyDescent="0.2">
      <c r="A19" s="40"/>
      <c r="B19" s="22" t="s">
        <v>231</v>
      </c>
      <c r="C19" s="4">
        <v>2</v>
      </c>
      <c r="D19" s="4" t="s">
        <v>232</v>
      </c>
      <c r="E19" s="4">
        <v>119</v>
      </c>
      <c r="F19" s="4" t="s">
        <v>233</v>
      </c>
      <c r="G19" s="4">
        <v>26</v>
      </c>
      <c r="H19" s="4" t="s">
        <v>173</v>
      </c>
      <c r="I19" s="4">
        <v>26</v>
      </c>
      <c r="J19" s="54"/>
    </row>
    <row r="20" spans="1:10" x14ac:dyDescent="0.2">
      <c r="A20" s="40"/>
      <c r="B20" s="22" t="s">
        <v>234</v>
      </c>
      <c r="C20" s="4">
        <v>1</v>
      </c>
      <c r="D20" s="4" t="s">
        <v>235</v>
      </c>
      <c r="E20" s="4">
        <v>49</v>
      </c>
      <c r="F20" s="4" t="s">
        <v>236</v>
      </c>
      <c r="G20" s="4">
        <v>12</v>
      </c>
      <c r="H20" s="4" t="s">
        <v>174</v>
      </c>
      <c r="I20" s="4">
        <v>13</v>
      </c>
      <c r="J20" s="54"/>
    </row>
    <row r="21" spans="1:10" x14ac:dyDescent="0.2">
      <c r="A21" s="40"/>
      <c r="B21" s="22" t="s">
        <v>237</v>
      </c>
      <c r="C21" s="4">
        <v>0</v>
      </c>
      <c r="D21" s="4" t="s">
        <v>238</v>
      </c>
      <c r="E21" s="4">
        <v>26</v>
      </c>
      <c r="F21" s="4" t="s">
        <v>239</v>
      </c>
      <c r="G21" s="4">
        <v>3</v>
      </c>
      <c r="H21" s="4" t="s">
        <v>175</v>
      </c>
      <c r="I21" s="4">
        <v>4</v>
      </c>
      <c r="J21" s="54"/>
    </row>
    <row r="22" spans="1:10" x14ac:dyDescent="0.2">
      <c r="A22" s="40"/>
      <c r="B22" s="22" t="s">
        <v>240</v>
      </c>
      <c r="C22" s="4">
        <v>0</v>
      </c>
      <c r="D22" s="4" t="s">
        <v>241</v>
      </c>
      <c r="E22" s="4">
        <v>18</v>
      </c>
      <c r="F22" s="4" t="s">
        <v>242</v>
      </c>
      <c r="G22" s="4">
        <v>2</v>
      </c>
      <c r="H22" s="4" t="s">
        <v>176</v>
      </c>
      <c r="I22" s="4">
        <v>5</v>
      </c>
      <c r="J22" s="54"/>
    </row>
    <row r="23" spans="1:10" ht="12.75" thickBot="1" x14ac:dyDescent="0.25">
      <c r="A23" s="40"/>
      <c r="B23" s="23" t="s">
        <v>39</v>
      </c>
      <c r="C23" s="6">
        <f>SUM(C15:C22)</f>
        <v>16</v>
      </c>
      <c r="D23" s="6"/>
      <c r="E23" s="6">
        <f>SUM(E15:E22)</f>
        <v>1108</v>
      </c>
      <c r="F23" s="6"/>
      <c r="G23" s="6">
        <f>SUM(G15:G22)</f>
        <v>227</v>
      </c>
      <c r="H23" s="6"/>
      <c r="I23" s="6">
        <f>SUM(I15:I22)</f>
        <v>223</v>
      </c>
      <c r="J23" s="7">
        <f>C23+E23+G23+I23</f>
        <v>1574</v>
      </c>
    </row>
    <row r="24" spans="1:10" ht="12" customHeight="1" x14ac:dyDescent="0.2">
      <c r="A24" s="39" t="s">
        <v>43</v>
      </c>
      <c r="B24" s="22" t="s">
        <v>243</v>
      </c>
      <c r="C24" s="4">
        <v>0</v>
      </c>
      <c r="D24" s="4" t="s">
        <v>244</v>
      </c>
      <c r="E24" s="4">
        <v>57</v>
      </c>
      <c r="F24" s="4" t="s">
        <v>245</v>
      </c>
      <c r="G24" s="4">
        <v>5</v>
      </c>
      <c r="H24" s="4" t="s">
        <v>177</v>
      </c>
      <c r="I24" s="4">
        <v>8</v>
      </c>
      <c r="J24" s="54"/>
    </row>
    <row r="25" spans="1:10" x14ac:dyDescent="0.2">
      <c r="A25" s="40"/>
      <c r="B25" s="22" t="s">
        <v>246</v>
      </c>
      <c r="C25" s="4">
        <v>0</v>
      </c>
      <c r="D25" s="4" t="s">
        <v>247</v>
      </c>
      <c r="E25" s="4">
        <v>40</v>
      </c>
      <c r="F25" s="4" t="s">
        <v>248</v>
      </c>
      <c r="G25" s="4">
        <v>5</v>
      </c>
      <c r="H25" s="4" t="s">
        <v>178</v>
      </c>
      <c r="I25" s="4">
        <v>6</v>
      </c>
      <c r="J25" s="54"/>
    </row>
    <row r="26" spans="1:10" x14ac:dyDescent="0.2">
      <c r="A26" s="40"/>
      <c r="B26" s="22" t="s">
        <v>249</v>
      </c>
      <c r="C26" s="4">
        <v>0</v>
      </c>
      <c r="D26" s="4" t="s">
        <v>250</v>
      </c>
      <c r="E26" s="4">
        <v>153</v>
      </c>
      <c r="F26" s="4" t="s">
        <v>251</v>
      </c>
      <c r="G26" s="4">
        <v>24</v>
      </c>
      <c r="H26" s="4" t="s">
        <v>179</v>
      </c>
      <c r="I26" s="4">
        <v>28</v>
      </c>
      <c r="J26" s="54"/>
    </row>
    <row r="27" spans="1:10" x14ac:dyDescent="0.2">
      <c r="A27" s="40"/>
      <c r="B27" s="22" t="s">
        <v>252</v>
      </c>
      <c r="C27" s="4">
        <v>0</v>
      </c>
      <c r="D27" s="4" t="s">
        <v>253</v>
      </c>
      <c r="E27" s="4">
        <v>77</v>
      </c>
      <c r="F27" s="4" t="s">
        <v>254</v>
      </c>
      <c r="G27" s="4">
        <v>20</v>
      </c>
      <c r="H27" s="4" t="s">
        <v>180</v>
      </c>
      <c r="I27" s="4">
        <v>12</v>
      </c>
      <c r="J27" s="54"/>
    </row>
    <row r="28" spans="1:10" x14ac:dyDescent="0.2">
      <c r="A28" s="40"/>
      <c r="B28" s="22" t="s">
        <v>255</v>
      </c>
      <c r="C28" s="4">
        <v>0</v>
      </c>
      <c r="D28" s="4" t="s">
        <v>256</v>
      </c>
      <c r="E28" s="4">
        <v>41</v>
      </c>
      <c r="F28" s="4" t="s">
        <v>257</v>
      </c>
      <c r="G28" s="4">
        <v>7</v>
      </c>
      <c r="H28" s="4" t="s">
        <v>181</v>
      </c>
      <c r="I28" s="4">
        <v>12</v>
      </c>
      <c r="J28" s="54"/>
    </row>
    <row r="29" spans="1:10" x14ac:dyDescent="0.2">
      <c r="A29" s="40"/>
      <c r="B29" s="22" t="s">
        <v>258</v>
      </c>
      <c r="C29" s="4">
        <v>0</v>
      </c>
      <c r="D29" s="4" t="s">
        <v>259</v>
      </c>
      <c r="E29" s="4">
        <v>13</v>
      </c>
      <c r="F29" s="4" t="s">
        <v>260</v>
      </c>
      <c r="G29" s="4">
        <v>0</v>
      </c>
      <c r="H29" s="4" t="s">
        <v>182</v>
      </c>
      <c r="I29" s="4">
        <v>0</v>
      </c>
      <c r="J29" s="54"/>
    </row>
    <row r="30" spans="1:10" x14ac:dyDescent="0.2">
      <c r="A30" s="40"/>
      <c r="B30" s="22" t="s">
        <v>261</v>
      </c>
      <c r="C30" s="4">
        <v>0</v>
      </c>
      <c r="D30" s="4" t="s">
        <v>262</v>
      </c>
      <c r="E30" s="4">
        <v>11</v>
      </c>
      <c r="F30" s="4" t="s">
        <v>263</v>
      </c>
      <c r="G30" s="4">
        <v>3</v>
      </c>
      <c r="H30" s="4" t="s">
        <v>183</v>
      </c>
      <c r="I30" s="4">
        <v>2</v>
      </c>
      <c r="J30" s="54"/>
    </row>
    <row r="31" spans="1:10" x14ac:dyDescent="0.2">
      <c r="A31" s="40"/>
      <c r="B31" s="22" t="s">
        <v>264</v>
      </c>
      <c r="C31" s="4">
        <v>0</v>
      </c>
      <c r="D31" s="4" t="s">
        <v>265</v>
      </c>
      <c r="E31" s="4">
        <v>2</v>
      </c>
      <c r="F31" s="4" t="s">
        <v>266</v>
      </c>
      <c r="G31" s="4">
        <v>0</v>
      </c>
      <c r="H31" s="4" t="s">
        <v>184</v>
      </c>
      <c r="I31" s="4">
        <v>0</v>
      </c>
      <c r="J31" s="54"/>
    </row>
    <row r="32" spans="1:10" ht="12.75" thickBot="1" x14ac:dyDescent="0.25">
      <c r="A32" s="40"/>
      <c r="B32" s="23" t="s">
        <v>39</v>
      </c>
      <c r="C32" s="6">
        <f>SUM(C24:C31)</f>
        <v>0</v>
      </c>
      <c r="D32" s="6"/>
      <c r="E32" s="6">
        <f>SUM(E24:E31)</f>
        <v>394</v>
      </c>
      <c r="F32" s="6"/>
      <c r="G32" s="6">
        <f>SUM(G24:G31)</f>
        <v>64</v>
      </c>
      <c r="H32" s="6"/>
      <c r="I32" s="6">
        <f>SUM(I24:I31)</f>
        <v>68</v>
      </c>
      <c r="J32" s="7">
        <f>C32+E32+G32+I32</f>
        <v>526</v>
      </c>
    </row>
    <row r="33" spans="1:10" ht="12" customHeight="1" x14ac:dyDescent="0.2">
      <c r="A33" s="39" t="s">
        <v>44</v>
      </c>
      <c r="B33" s="22" t="s">
        <v>220</v>
      </c>
      <c r="C33" s="4">
        <v>0</v>
      </c>
      <c r="D33" s="4" t="s">
        <v>267</v>
      </c>
      <c r="E33" s="4">
        <v>18</v>
      </c>
      <c r="F33" s="4" t="s">
        <v>268</v>
      </c>
      <c r="G33" s="4">
        <v>1</v>
      </c>
      <c r="H33" s="4" t="s">
        <v>185</v>
      </c>
      <c r="I33" s="4">
        <v>6</v>
      </c>
      <c r="J33" s="54"/>
    </row>
    <row r="34" spans="1:10" x14ac:dyDescent="0.2">
      <c r="A34" s="40"/>
      <c r="B34" s="22" t="s">
        <v>269</v>
      </c>
      <c r="C34" s="4">
        <v>0</v>
      </c>
      <c r="D34" s="4" t="s">
        <v>270</v>
      </c>
      <c r="E34" s="4">
        <v>14</v>
      </c>
      <c r="F34" s="4" t="s">
        <v>271</v>
      </c>
      <c r="G34" s="4">
        <v>5</v>
      </c>
      <c r="H34" s="4" t="s">
        <v>186</v>
      </c>
      <c r="I34" s="4">
        <v>5</v>
      </c>
      <c r="J34" s="54"/>
    </row>
    <row r="35" spans="1:10" x14ac:dyDescent="0.2">
      <c r="A35" s="40"/>
      <c r="B35" s="22" t="s">
        <v>163</v>
      </c>
      <c r="C35" s="4">
        <v>1</v>
      </c>
      <c r="D35" s="4" t="s">
        <v>272</v>
      </c>
      <c r="E35" s="4">
        <v>77</v>
      </c>
      <c r="F35" s="4" t="s">
        <v>273</v>
      </c>
      <c r="G35" s="4">
        <v>16</v>
      </c>
      <c r="H35" s="4" t="s">
        <v>187</v>
      </c>
      <c r="I35" s="4">
        <v>9</v>
      </c>
      <c r="J35" s="54"/>
    </row>
    <row r="36" spans="1:10" x14ac:dyDescent="0.2">
      <c r="A36" s="40"/>
      <c r="B36" s="22" t="s">
        <v>164</v>
      </c>
      <c r="C36" s="4">
        <v>0</v>
      </c>
      <c r="D36" s="4" t="s">
        <v>274</v>
      </c>
      <c r="E36" s="4">
        <v>35</v>
      </c>
      <c r="F36" s="4" t="s">
        <v>275</v>
      </c>
      <c r="G36" s="4">
        <v>8</v>
      </c>
      <c r="H36" s="4" t="s">
        <v>188</v>
      </c>
      <c r="I36" s="4">
        <v>2</v>
      </c>
      <c r="J36" s="54"/>
    </row>
    <row r="37" spans="1:10" x14ac:dyDescent="0.2">
      <c r="A37" s="40"/>
      <c r="B37" s="22" t="s">
        <v>165</v>
      </c>
      <c r="C37" s="4">
        <v>0</v>
      </c>
      <c r="D37" s="4" t="s">
        <v>276</v>
      </c>
      <c r="E37" s="4">
        <v>8</v>
      </c>
      <c r="F37" s="4" t="s">
        <v>277</v>
      </c>
      <c r="G37" s="4">
        <v>2</v>
      </c>
      <c r="H37" s="4" t="s">
        <v>189</v>
      </c>
      <c r="I37" s="4">
        <v>4</v>
      </c>
      <c r="J37" s="54"/>
    </row>
    <row r="38" spans="1:10" x14ac:dyDescent="0.2">
      <c r="A38" s="40"/>
      <c r="B38" s="22" t="s">
        <v>166</v>
      </c>
      <c r="C38" s="4">
        <v>0</v>
      </c>
      <c r="D38" s="4" t="s">
        <v>278</v>
      </c>
      <c r="E38" s="4">
        <v>2</v>
      </c>
      <c r="F38" s="4" t="s">
        <v>279</v>
      </c>
      <c r="G38" s="4">
        <v>0</v>
      </c>
      <c r="H38" s="4" t="s">
        <v>190</v>
      </c>
      <c r="I38" s="4">
        <v>0</v>
      </c>
      <c r="J38" s="54"/>
    </row>
    <row r="39" spans="1:10" x14ac:dyDescent="0.2">
      <c r="A39" s="40"/>
      <c r="B39" s="22" t="s">
        <v>167</v>
      </c>
      <c r="C39" s="4">
        <v>0</v>
      </c>
      <c r="D39" s="4" t="s">
        <v>280</v>
      </c>
      <c r="E39" s="4">
        <v>2</v>
      </c>
      <c r="F39" s="4" t="s">
        <v>281</v>
      </c>
      <c r="G39" s="4">
        <v>0</v>
      </c>
      <c r="H39" s="4" t="s">
        <v>191</v>
      </c>
      <c r="I39" s="4">
        <v>1</v>
      </c>
      <c r="J39" s="54"/>
    </row>
    <row r="40" spans="1:10" x14ac:dyDescent="0.2">
      <c r="A40" s="40"/>
      <c r="B40" s="22" t="s">
        <v>168</v>
      </c>
      <c r="C40" s="4">
        <v>0</v>
      </c>
      <c r="D40" s="4" t="s">
        <v>282</v>
      </c>
      <c r="E40" s="4">
        <v>0</v>
      </c>
      <c r="F40" s="4" t="s">
        <v>283</v>
      </c>
      <c r="G40" s="4">
        <v>0</v>
      </c>
      <c r="H40" s="4" t="s">
        <v>192</v>
      </c>
      <c r="I40" s="4">
        <v>0</v>
      </c>
      <c r="J40" s="54"/>
    </row>
    <row r="41" spans="1:10" ht="12.75" thickBot="1" x14ac:dyDescent="0.25">
      <c r="A41" s="40"/>
      <c r="B41" s="24" t="s">
        <v>39</v>
      </c>
      <c r="C41" s="8">
        <f>SUM(C33:C40)</f>
        <v>1</v>
      </c>
      <c r="D41" s="8"/>
      <c r="E41" s="8">
        <f>SUM(E33:E40)</f>
        <v>156</v>
      </c>
      <c r="F41" s="8"/>
      <c r="G41" s="8">
        <f>SUM(G33:G40)</f>
        <v>32</v>
      </c>
      <c r="H41" s="8"/>
      <c r="I41" s="8">
        <f>SUM(I33:I40)</f>
        <v>27</v>
      </c>
      <c r="J41" s="9">
        <f>C41+E41+G41+I41</f>
        <v>216</v>
      </c>
    </row>
    <row r="42" spans="1:10" ht="12.75" thickBot="1" x14ac:dyDescent="0.25">
      <c r="A42" s="25" t="s">
        <v>39</v>
      </c>
      <c r="B42" s="26"/>
      <c r="C42" s="27">
        <f>C14+C23+C32+C41</f>
        <v>47</v>
      </c>
      <c r="D42" s="27"/>
      <c r="E42" s="27">
        <f>E14+E23+E32+E41</f>
        <v>3477</v>
      </c>
      <c r="F42" s="27"/>
      <c r="G42" s="27">
        <f>G14+G23+G32+G41</f>
        <v>762</v>
      </c>
      <c r="H42" s="27"/>
      <c r="I42" s="27">
        <f>I14+I23+I32+I41</f>
        <v>783</v>
      </c>
      <c r="J42" s="28">
        <f>C42+E42+G42+I42</f>
        <v>5069</v>
      </c>
    </row>
    <row r="44" spans="1:10" x14ac:dyDescent="0.2">
      <c r="A44" s="29" t="s">
        <v>194</v>
      </c>
      <c r="B44" s="29"/>
      <c r="C44" s="29"/>
      <c r="D44" s="29"/>
      <c r="E44" s="29"/>
      <c r="F44" s="29"/>
    </row>
    <row r="45" spans="1:10" x14ac:dyDescent="0.2">
      <c r="A45" s="13">
        <v>43151</v>
      </c>
    </row>
    <row r="46" spans="1:10" x14ac:dyDescent="0.2">
      <c r="A46" s="36" t="s">
        <v>160</v>
      </c>
      <c r="B46" s="36"/>
      <c r="C46" s="36"/>
    </row>
    <row r="47" spans="1:10" x14ac:dyDescent="0.2">
      <c r="G47" s="37" t="s">
        <v>45</v>
      </c>
      <c r="H47" s="37"/>
      <c r="I47" s="37"/>
      <c r="J47" s="37"/>
    </row>
    <row r="48" spans="1:10" x14ac:dyDescent="0.2">
      <c r="G48" s="37" t="s">
        <v>46</v>
      </c>
      <c r="H48" s="37"/>
      <c r="I48" s="37"/>
      <c r="J48" s="37"/>
    </row>
    <row r="52" spans="1:1" x14ac:dyDescent="0.2">
      <c r="A52" s="15"/>
    </row>
  </sheetData>
  <mergeCells count="22">
    <mergeCell ref="G48:J48"/>
    <mergeCell ref="J15:J22"/>
    <mergeCell ref="A33:A41"/>
    <mergeCell ref="J33:J40"/>
    <mergeCell ref="A46:C46"/>
    <mergeCell ref="G47:J47"/>
    <mergeCell ref="A24:A32"/>
    <mergeCell ref="J24:J31"/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70866141732283472" right="0.70866141732283472" top="0.55118110236220474" bottom="0.55118110236220474" header="0.31496062992125984" footer="0.31496062992125984"/>
  <pageSetup paperSize="9" scale="86" orientation="landscape" r:id="rId1"/>
  <rowBreaks count="1" manualBreakCount="1">
    <brk id="4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22" zoomScaleNormal="100" workbookViewId="0">
      <selection activeCell="E41" sqref="E41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1.28515625" style="1" customWidth="1"/>
    <col min="4" max="4" width="12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26.25" customHeight="1" x14ac:dyDescent="0.2">
      <c r="A1" s="38" t="s">
        <v>284</v>
      </c>
      <c r="B1" s="38"/>
      <c r="C1" s="38"/>
      <c r="D1" s="38"/>
      <c r="E1" s="38"/>
      <c r="F1" s="38"/>
    </row>
    <row r="2" spans="1:6" ht="12.75" thickBot="1" x14ac:dyDescent="0.25"/>
    <row r="3" spans="1:6" x14ac:dyDescent="0.2">
      <c r="A3" s="42"/>
      <c r="B3" s="45" t="s">
        <v>40</v>
      </c>
      <c r="C3" s="48" t="s">
        <v>36</v>
      </c>
      <c r="D3" s="48"/>
      <c r="E3" s="48"/>
      <c r="F3" s="49" t="s">
        <v>39</v>
      </c>
    </row>
    <row r="4" spans="1:6" ht="12" customHeight="1" x14ac:dyDescent="0.2">
      <c r="A4" s="43"/>
      <c r="B4" s="46"/>
      <c r="C4" s="52" t="s">
        <v>47</v>
      </c>
      <c r="D4" s="52" t="s">
        <v>37</v>
      </c>
      <c r="E4" s="52" t="s">
        <v>38</v>
      </c>
      <c r="F4" s="50"/>
    </row>
    <row r="5" spans="1:6" ht="31.5" customHeight="1" thickBot="1" x14ac:dyDescent="0.25">
      <c r="A5" s="44"/>
      <c r="B5" s="47"/>
      <c r="C5" s="53"/>
      <c r="D5" s="53"/>
      <c r="E5" s="53"/>
      <c r="F5" s="51"/>
    </row>
    <row r="6" spans="1:6" x14ac:dyDescent="0.2">
      <c r="A6" s="39" t="s">
        <v>41</v>
      </c>
      <c r="B6" s="2" t="s">
        <v>161</v>
      </c>
      <c r="C6" s="2">
        <v>18630</v>
      </c>
      <c r="D6" s="2">
        <v>4277</v>
      </c>
      <c r="E6" s="2">
        <v>368</v>
      </c>
      <c r="F6" s="3">
        <f t="shared" ref="F6:F42" si="0">SUM(C6:E6)</f>
        <v>23275</v>
      </c>
    </row>
    <row r="7" spans="1:6" x14ac:dyDescent="0.2">
      <c r="A7" s="40"/>
      <c r="B7" s="4" t="s">
        <v>162</v>
      </c>
      <c r="C7" s="4">
        <v>13519</v>
      </c>
      <c r="D7" s="4">
        <v>4317</v>
      </c>
      <c r="E7" s="4">
        <v>19</v>
      </c>
      <c r="F7" s="5">
        <f t="shared" si="0"/>
        <v>17855</v>
      </c>
    </row>
    <row r="8" spans="1:6" x14ac:dyDescent="0.2">
      <c r="A8" s="40"/>
      <c r="B8" s="4" t="s">
        <v>163</v>
      </c>
      <c r="C8" s="4">
        <v>20090</v>
      </c>
      <c r="D8" s="4">
        <v>14240</v>
      </c>
      <c r="E8" s="4">
        <v>49</v>
      </c>
      <c r="F8" s="5">
        <f t="shared" si="0"/>
        <v>34379</v>
      </c>
    </row>
    <row r="9" spans="1:6" x14ac:dyDescent="0.2">
      <c r="A9" s="40"/>
      <c r="B9" s="4" t="s">
        <v>164</v>
      </c>
      <c r="C9" s="4">
        <v>11298</v>
      </c>
      <c r="D9" s="4">
        <v>4119</v>
      </c>
      <c r="E9" s="4">
        <v>36</v>
      </c>
      <c r="F9" s="5">
        <f t="shared" si="0"/>
        <v>15453</v>
      </c>
    </row>
    <row r="10" spans="1:6" x14ac:dyDescent="0.2">
      <c r="A10" s="40"/>
      <c r="B10" s="4" t="s">
        <v>165</v>
      </c>
      <c r="C10" s="4">
        <v>7502</v>
      </c>
      <c r="D10" s="4">
        <v>1561</v>
      </c>
      <c r="E10" s="4">
        <v>17</v>
      </c>
      <c r="F10" s="5">
        <f t="shared" si="0"/>
        <v>9080</v>
      </c>
    </row>
    <row r="11" spans="1:6" x14ac:dyDescent="0.2">
      <c r="A11" s="40"/>
      <c r="B11" s="4" t="s">
        <v>166</v>
      </c>
      <c r="C11" s="4">
        <v>6173</v>
      </c>
      <c r="D11" s="4">
        <v>512</v>
      </c>
      <c r="E11" s="4">
        <v>8</v>
      </c>
      <c r="F11" s="5">
        <f t="shared" si="0"/>
        <v>6693</v>
      </c>
    </row>
    <row r="12" spans="1:6" x14ac:dyDescent="0.2">
      <c r="A12" s="40"/>
      <c r="B12" s="4" t="s">
        <v>167</v>
      </c>
      <c r="C12" s="4">
        <v>4580</v>
      </c>
      <c r="D12" s="4">
        <v>109</v>
      </c>
      <c r="E12" s="4">
        <v>3</v>
      </c>
      <c r="F12" s="5">
        <f t="shared" si="0"/>
        <v>4692</v>
      </c>
    </row>
    <row r="13" spans="1:6" x14ac:dyDescent="0.2">
      <c r="A13" s="40"/>
      <c r="B13" s="4" t="s">
        <v>168</v>
      </c>
      <c r="C13" s="4">
        <v>5342</v>
      </c>
      <c r="D13" s="4">
        <v>16</v>
      </c>
      <c r="E13" s="4">
        <v>3</v>
      </c>
      <c r="F13" s="5">
        <f t="shared" si="0"/>
        <v>5361</v>
      </c>
    </row>
    <row r="14" spans="1:6" x14ac:dyDescent="0.2">
      <c r="A14" s="40"/>
      <c r="B14" s="6" t="s">
        <v>39</v>
      </c>
      <c r="C14" s="6">
        <f>SUM(C6:C13)</f>
        <v>87134</v>
      </c>
      <c r="D14" s="6">
        <f>SUM(D6:D13)</f>
        <v>29151</v>
      </c>
      <c r="E14" s="6">
        <f>SUM(E6:E13)</f>
        <v>503</v>
      </c>
      <c r="F14" s="7">
        <f t="shared" si="0"/>
        <v>116788</v>
      </c>
    </row>
    <row r="15" spans="1:6" x14ac:dyDescent="0.2">
      <c r="A15" s="40" t="s">
        <v>42</v>
      </c>
      <c r="B15" s="4" t="s">
        <v>169</v>
      </c>
      <c r="C15" s="4">
        <v>5467</v>
      </c>
      <c r="D15" s="4">
        <v>132</v>
      </c>
      <c r="E15" s="4">
        <v>159</v>
      </c>
      <c r="F15" s="5">
        <f t="shared" si="0"/>
        <v>5758</v>
      </c>
    </row>
    <row r="16" spans="1:6" x14ac:dyDescent="0.2">
      <c r="A16" s="40"/>
      <c r="B16" s="4" t="s">
        <v>170</v>
      </c>
      <c r="C16" s="4">
        <v>4410</v>
      </c>
      <c r="D16" s="4">
        <v>113</v>
      </c>
      <c r="E16" s="4">
        <v>14</v>
      </c>
      <c r="F16" s="5">
        <f t="shared" si="0"/>
        <v>4537</v>
      </c>
    </row>
    <row r="17" spans="1:6" x14ac:dyDescent="0.2">
      <c r="A17" s="40"/>
      <c r="B17" s="4" t="s">
        <v>171</v>
      </c>
      <c r="C17" s="4">
        <v>7350</v>
      </c>
      <c r="D17" s="4">
        <v>303</v>
      </c>
      <c r="E17" s="4">
        <v>36</v>
      </c>
      <c r="F17" s="5">
        <f t="shared" si="0"/>
        <v>7689</v>
      </c>
    </row>
    <row r="18" spans="1:6" x14ac:dyDescent="0.2">
      <c r="A18" s="40"/>
      <c r="B18" s="4" t="s">
        <v>172</v>
      </c>
      <c r="C18" s="4">
        <v>4341</v>
      </c>
      <c r="D18" s="4">
        <v>156</v>
      </c>
      <c r="E18" s="4">
        <v>26</v>
      </c>
      <c r="F18" s="5">
        <f t="shared" si="0"/>
        <v>4523</v>
      </c>
    </row>
    <row r="19" spans="1:6" x14ac:dyDescent="0.2">
      <c r="A19" s="40"/>
      <c r="B19" s="4" t="s">
        <v>173</v>
      </c>
      <c r="C19" s="4">
        <v>3015</v>
      </c>
      <c r="D19" s="4">
        <v>68</v>
      </c>
      <c r="E19" s="4">
        <v>14</v>
      </c>
      <c r="F19" s="5">
        <f t="shared" si="0"/>
        <v>3097</v>
      </c>
    </row>
    <row r="20" spans="1:6" x14ac:dyDescent="0.2">
      <c r="A20" s="40"/>
      <c r="B20" s="4" t="s">
        <v>174</v>
      </c>
      <c r="C20" s="4">
        <v>1916</v>
      </c>
      <c r="D20" s="4">
        <v>22</v>
      </c>
      <c r="E20" s="4">
        <v>2</v>
      </c>
      <c r="F20" s="5">
        <f t="shared" si="0"/>
        <v>1940</v>
      </c>
    </row>
    <row r="21" spans="1:6" x14ac:dyDescent="0.2">
      <c r="A21" s="40"/>
      <c r="B21" s="4" t="s">
        <v>175</v>
      </c>
      <c r="C21" s="4">
        <v>1088</v>
      </c>
      <c r="D21" s="4">
        <v>0</v>
      </c>
      <c r="E21" s="4">
        <v>3</v>
      </c>
      <c r="F21" s="5">
        <f t="shared" si="0"/>
        <v>1091</v>
      </c>
    </row>
    <row r="22" spans="1:6" x14ac:dyDescent="0.2">
      <c r="A22" s="40"/>
      <c r="B22" s="4" t="s">
        <v>176</v>
      </c>
      <c r="C22" s="4">
        <v>245</v>
      </c>
      <c r="D22" s="4">
        <v>0</v>
      </c>
      <c r="E22" s="4">
        <v>0</v>
      </c>
      <c r="F22" s="5">
        <f t="shared" si="0"/>
        <v>245</v>
      </c>
    </row>
    <row r="23" spans="1:6" x14ac:dyDescent="0.2">
      <c r="A23" s="40"/>
      <c r="B23" s="6" t="s">
        <v>39</v>
      </c>
      <c r="C23" s="6">
        <f>SUM(C15:C22)</f>
        <v>27832</v>
      </c>
      <c r="D23" s="6">
        <f>SUM(D15:D22)</f>
        <v>794</v>
      </c>
      <c r="E23" s="6">
        <f>SUM(E15:E22)</f>
        <v>254</v>
      </c>
      <c r="F23" s="7">
        <f t="shared" si="0"/>
        <v>28880</v>
      </c>
    </row>
    <row r="24" spans="1:6" x14ac:dyDescent="0.2">
      <c r="A24" s="40" t="s">
        <v>43</v>
      </c>
      <c r="B24" s="4" t="s">
        <v>177</v>
      </c>
      <c r="C24" s="4">
        <v>98</v>
      </c>
      <c r="D24" s="4">
        <v>39</v>
      </c>
      <c r="E24" s="4">
        <v>52</v>
      </c>
      <c r="F24" s="5">
        <f t="shared" si="0"/>
        <v>189</v>
      </c>
    </row>
    <row r="25" spans="1:6" x14ac:dyDescent="0.2">
      <c r="A25" s="40"/>
      <c r="B25" s="4" t="s">
        <v>178</v>
      </c>
      <c r="C25" s="4">
        <v>83</v>
      </c>
      <c r="D25" s="4">
        <v>33</v>
      </c>
      <c r="E25" s="4">
        <v>1</v>
      </c>
      <c r="F25" s="5">
        <f t="shared" si="0"/>
        <v>117</v>
      </c>
    </row>
    <row r="26" spans="1:6" x14ac:dyDescent="0.2">
      <c r="A26" s="40"/>
      <c r="B26" s="4" t="s">
        <v>179</v>
      </c>
      <c r="C26" s="4">
        <v>221</v>
      </c>
      <c r="D26" s="4">
        <v>97</v>
      </c>
      <c r="E26" s="4">
        <v>12</v>
      </c>
      <c r="F26" s="5">
        <f t="shared" si="0"/>
        <v>330</v>
      </c>
    </row>
    <row r="27" spans="1:6" x14ac:dyDescent="0.2">
      <c r="A27" s="40"/>
      <c r="B27" s="4" t="s">
        <v>180</v>
      </c>
      <c r="C27" s="4">
        <v>121</v>
      </c>
      <c r="D27" s="4">
        <v>53</v>
      </c>
      <c r="E27" s="4">
        <v>2</v>
      </c>
      <c r="F27" s="5">
        <f t="shared" si="0"/>
        <v>176</v>
      </c>
    </row>
    <row r="28" spans="1:6" x14ac:dyDescent="0.2">
      <c r="A28" s="40"/>
      <c r="B28" s="4" t="s">
        <v>181</v>
      </c>
      <c r="C28" s="4">
        <v>102</v>
      </c>
      <c r="D28" s="4">
        <v>27</v>
      </c>
      <c r="E28" s="4">
        <v>2</v>
      </c>
      <c r="F28" s="5">
        <f t="shared" si="0"/>
        <v>131</v>
      </c>
    </row>
    <row r="29" spans="1:6" x14ac:dyDescent="0.2">
      <c r="A29" s="40"/>
      <c r="B29" s="4" t="s">
        <v>182</v>
      </c>
      <c r="C29" s="4">
        <v>61</v>
      </c>
      <c r="D29" s="4">
        <v>10</v>
      </c>
      <c r="E29" s="4">
        <v>0</v>
      </c>
      <c r="F29" s="5">
        <f t="shared" si="0"/>
        <v>71</v>
      </c>
    </row>
    <row r="30" spans="1:6" x14ac:dyDescent="0.2">
      <c r="A30" s="40"/>
      <c r="B30" s="4" t="s">
        <v>183</v>
      </c>
      <c r="C30" s="4">
        <v>27</v>
      </c>
      <c r="D30" s="4">
        <v>0</v>
      </c>
      <c r="E30" s="4">
        <v>0</v>
      </c>
      <c r="F30" s="5">
        <f t="shared" si="0"/>
        <v>27</v>
      </c>
    </row>
    <row r="31" spans="1:6" x14ac:dyDescent="0.2">
      <c r="A31" s="40"/>
      <c r="B31" s="4" t="s">
        <v>184</v>
      </c>
      <c r="C31" s="4">
        <v>4</v>
      </c>
      <c r="D31" s="4">
        <v>0</v>
      </c>
      <c r="E31" s="4">
        <v>0</v>
      </c>
      <c r="F31" s="5">
        <f t="shared" si="0"/>
        <v>4</v>
      </c>
    </row>
    <row r="32" spans="1:6" x14ac:dyDescent="0.2">
      <c r="A32" s="40"/>
      <c r="B32" s="6" t="s">
        <v>39</v>
      </c>
      <c r="C32" s="6">
        <f>SUM(C24:C31)</f>
        <v>717</v>
      </c>
      <c r="D32" s="6">
        <f>SUM(D24:D31)</f>
        <v>259</v>
      </c>
      <c r="E32" s="6">
        <f>SUM(E24:E31)</f>
        <v>69</v>
      </c>
      <c r="F32" s="7">
        <f t="shared" si="0"/>
        <v>1045</v>
      </c>
    </row>
    <row r="33" spans="1:6" x14ac:dyDescent="0.2">
      <c r="A33" s="40" t="s">
        <v>44</v>
      </c>
      <c r="B33" s="4" t="s">
        <v>185</v>
      </c>
      <c r="C33" s="4">
        <v>12</v>
      </c>
      <c r="D33" s="4">
        <v>7</v>
      </c>
      <c r="E33" s="4">
        <v>26</v>
      </c>
      <c r="F33" s="5">
        <f t="shared" si="0"/>
        <v>45</v>
      </c>
    </row>
    <row r="34" spans="1:6" x14ac:dyDescent="0.2">
      <c r="A34" s="40"/>
      <c r="B34" s="4" t="s">
        <v>186</v>
      </c>
      <c r="C34" s="4">
        <v>9</v>
      </c>
      <c r="D34" s="4">
        <v>5</v>
      </c>
      <c r="E34" s="4">
        <v>4</v>
      </c>
      <c r="F34" s="5">
        <f t="shared" si="0"/>
        <v>18</v>
      </c>
    </row>
    <row r="35" spans="1:6" x14ac:dyDescent="0.2">
      <c r="A35" s="40"/>
      <c r="B35" s="4" t="s">
        <v>187</v>
      </c>
      <c r="C35" s="4">
        <v>39</v>
      </c>
      <c r="D35" s="4">
        <v>29</v>
      </c>
      <c r="E35" s="4">
        <v>11</v>
      </c>
      <c r="F35" s="5">
        <f t="shared" si="0"/>
        <v>79</v>
      </c>
    </row>
    <row r="36" spans="1:6" x14ac:dyDescent="0.2">
      <c r="A36" s="40"/>
      <c r="B36" s="4" t="s">
        <v>188</v>
      </c>
      <c r="C36" s="4">
        <v>23</v>
      </c>
      <c r="D36" s="4">
        <v>18</v>
      </c>
      <c r="E36" s="4">
        <v>2</v>
      </c>
      <c r="F36" s="5">
        <f t="shared" si="0"/>
        <v>43</v>
      </c>
    </row>
    <row r="37" spans="1:6" x14ac:dyDescent="0.2">
      <c r="A37" s="40"/>
      <c r="B37" s="4" t="s">
        <v>189</v>
      </c>
      <c r="C37" s="4">
        <v>14</v>
      </c>
      <c r="D37" s="4">
        <v>6</v>
      </c>
      <c r="E37" s="4">
        <v>0</v>
      </c>
      <c r="F37" s="5">
        <f t="shared" si="0"/>
        <v>20</v>
      </c>
    </row>
    <row r="38" spans="1:6" x14ac:dyDescent="0.2">
      <c r="A38" s="40"/>
      <c r="B38" s="4" t="s">
        <v>190</v>
      </c>
      <c r="C38" s="4">
        <v>13</v>
      </c>
      <c r="D38" s="4">
        <v>1</v>
      </c>
      <c r="E38" s="4">
        <v>0</v>
      </c>
      <c r="F38" s="5">
        <f t="shared" si="0"/>
        <v>14</v>
      </c>
    </row>
    <row r="39" spans="1:6" x14ac:dyDescent="0.2">
      <c r="A39" s="40"/>
      <c r="B39" s="4" t="s">
        <v>191</v>
      </c>
      <c r="C39" s="4">
        <v>3</v>
      </c>
      <c r="D39" s="4">
        <v>0</v>
      </c>
      <c r="E39" s="4">
        <v>0</v>
      </c>
      <c r="F39" s="5">
        <f t="shared" si="0"/>
        <v>3</v>
      </c>
    </row>
    <row r="40" spans="1:6" x14ac:dyDescent="0.2">
      <c r="A40" s="40"/>
      <c r="B40" s="4" t="s">
        <v>192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1"/>
      <c r="B41" s="8" t="s">
        <v>39</v>
      </c>
      <c r="C41" s="8">
        <f>SUM(C33:C40)</f>
        <v>113</v>
      </c>
      <c r="D41" s="8">
        <f>SUM(D33:D40)</f>
        <v>66</v>
      </c>
      <c r="E41" s="8">
        <f>SUM(E33:E40)</f>
        <v>43</v>
      </c>
      <c r="F41" s="9">
        <f t="shared" si="0"/>
        <v>222</v>
      </c>
    </row>
    <row r="42" spans="1:6" ht="12.75" thickBot="1" x14ac:dyDescent="0.25">
      <c r="A42" s="10" t="s">
        <v>39</v>
      </c>
      <c r="B42" s="11"/>
      <c r="C42" s="11">
        <f>C14+C23+C32+C41</f>
        <v>115796</v>
      </c>
      <c r="D42" s="11">
        <f>D14+D23+D32+D41</f>
        <v>30270</v>
      </c>
      <c r="E42" s="11">
        <f>E14+E23+E32+E41</f>
        <v>869</v>
      </c>
      <c r="F42" s="12">
        <f t="shared" si="0"/>
        <v>146935</v>
      </c>
    </row>
    <row r="43" spans="1:6" x14ac:dyDescent="0.2">
      <c r="A43" s="18"/>
      <c r="B43" s="19"/>
      <c r="C43" s="19"/>
      <c r="D43" s="19"/>
      <c r="E43" s="19"/>
      <c r="F43" s="19"/>
    </row>
    <row r="45" spans="1:6" ht="25.5" customHeight="1" x14ac:dyDescent="0.2">
      <c r="A45" s="35" t="s">
        <v>285</v>
      </c>
      <c r="B45" s="35"/>
      <c r="C45" s="35"/>
      <c r="D45" s="35"/>
      <c r="E45" s="35"/>
      <c r="F45" s="35"/>
    </row>
    <row r="46" spans="1:6" ht="12.75" customHeight="1" x14ac:dyDescent="0.2">
      <c r="A46" s="13">
        <v>43557</v>
      </c>
    </row>
    <row r="47" spans="1:6" ht="12.75" customHeight="1" x14ac:dyDescent="0.2">
      <c r="A47" s="36" t="s">
        <v>286</v>
      </c>
      <c r="B47" s="36"/>
      <c r="C47" s="36"/>
    </row>
    <row r="49" spans="1:7" x14ac:dyDescent="0.2">
      <c r="D49" s="37" t="s">
        <v>45</v>
      </c>
      <c r="E49" s="37"/>
      <c r="F49" s="37"/>
    </row>
    <row r="50" spans="1:7" x14ac:dyDescent="0.2">
      <c r="D50" s="37" t="s">
        <v>46</v>
      </c>
      <c r="E50" s="37"/>
      <c r="F50" s="37"/>
      <c r="G50" s="33"/>
    </row>
    <row r="51" spans="1:7" x14ac:dyDescent="0.2">
      <c r="F51" s="33"/>
      <c r="G51" s="33"/>
    </row>
    <row r="55" spans="1:7" x14ac:dyDescent="0.2">
      <c r="A55" s="15"/>
    </row>
  </sheetData>
  <mergeCells count="16">
    <mergeCell ref="A1:F1"/>
    <mergeCell ref="A3:A5"/>
    <mergeCell ref="B3:B5"/>
    <mergeCell ref="C3:E3"/>
    <mergeCell ref="F3:F5"/>
    <mergeCell ref="C4:C5"/>
    <mergeCell ref="D4:D5"/>
    <mergeCell ref="E4:E5"/>
    <mergeCell ref="D49:F49"/>
    <mergeCell ref="D50:F50"/>
    <mergeCell ref="A6:A14"/>
    <mergeCell ref="A15:A23"/>
    <mergeCell ref="A24:A32"/>
    <mergeCell ref="A33:A41"/>
    <mergeCell ref="A45:F45"/>
    <mergeCell ref="A47:C47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C31" zoomScaleNormal="100" zoomScaleSheetLayoutView="100" workbookViewId="0">
      <selection activeCell="J42" sqref="J42"/>
    </sheetView>
  </sheetViews>
  <sheetFormatPr defaultRowHeight="12" x14ac:dyDescent="0.2"/>
  <cols>
    <col min="1" max="1" width="11.140625" style="1" customWidth="1"/>
    <col min="2" max="2" width="14.7109375" style="1" customWidth="1"/>
    <col min="3" max="3" width="12.5703125" style="1" customWidth="1"/>
    <col min="4" max="4" width="14.7109375" style="1" customWidth="1"/>
    <col min="5" max="5" width="12.5703125" style="1" customWidth="1"/>
    <col min="6" max="6" width="14.140625" style="1" customWidth="1"/>
    <col min="7" max="7" width="12.140625" style="1" customWidth="1"/>
    <col min="8" max="8" width="15.140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6" t="s">
        <v>287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 thickBot="1" x14ac:dyDescent="0.25"/>
    <row r="3" spans="1:10" ht="12" customHeight="1" x14ac:dyDescent="0.2">
      <c r="A3" s="42"/>
      <c r="B3" s="58" t="s">
        <v>49</v>
      </c>
      <c r="C3" s="58" t="s">
        <v>50</v>
      </c>
      <c r="D3" s="58" t="s">
        <v>51</v>
      </c>
      <c r="E3" s="58" t="s">
        <v>50</v>
      </c>
      <c r="F3" s="58" t="s">
        <v>52</v>
      </c>
      <c r="G3" s="58" t="s">
        <v>50</v>
      </c>
      <c r="H3" s="58" t="s">
        <v>53</v>
      </c>
      <c r="I3" s="58" t="s">
        <v>50</v>
      </c>
      <c r="J3" s="65" t="s">
        <v>39</v>
      </c>
    </row>
    <row r="4" spans="1:10" x14ac:dyDescent="0.2">
      <c r="A4" s="43"/>
      <c r="B4" s="59"/>
      <c r="C4" s="59"/>
      <c r="D4" s="59"/>
      <c r="E4" s="59"/>
      <c r="F4" s="59"/>
      <c r="G4" s="59"/>
      <c r="H4" s="59"/>
      <c r="I4" s="59"/>
      <c r="J4" s="66"/>
    </row>
    <row r="5" spans="1:10" ht="12.75" thickBot="1" x14ac:dyDescent="0.25">
      <c r="A5" s="44"/>
      <c r="B5" s="60"/>
      <c r="C5" s="60"/>
      <c r="D5" s="60"/>
      <c r="E5" s="60"/>
      <c r="F5" s="60"/>
      <c r="G5" s="60"/>
      <c r="H5" s="60"/>
      <c r="I5" s="60"/>
      <c r="J5" s="67"/>
    </row>
    <row r="6" spans="1:10" ht="12" customHeight="1" x14ac:dyDescent="0.2">
      <c r="A6" s="39" t="s">
        <v>41</v>
      </c>
      <c r="B6" s="21" t="s">
        <v>195</v>
      </c>
      <c r="C6" s="2">
        <v>4</v>
      </c>
      <c r="D6" s="2" t="s">
        <v>196</v>
      </c>
      <c r="E6" s="2">
        <v>368</v>
      </c>
      <c r="F6" s="2" t="s">
        <v>197</v>
      </c>
      <c r="G6" s="2">
        <v>81</v>
      </c>
      <c r="H6" s="2" t="s">
        <v>161</v>
      </c>
      <c r="I6" s="2">
        <v>92</v>
      </c>
      <c r="J6" s="64"/>
    </row>
    <row r="7" spans="1:10" x14ac:dyDescent="0.2">
      <c r="A7" s="40"/>
      <c r="B7" s="22" t="s">
        <v>198</v>
      </c>
      <c r="C7" s="4">
        <v>0</v>
      </c>
      <c r="D7" s="4" t="s">
        <v>199</v>
      </c>
      <c r="E7" s="4">
        <v>237</v>
      </c>
      <c r="F7" s="4" t="s">
        <v>200</v>
      </c>
      <c r="G7" s="4">
        <v>59</v>
      </c>
      <c r="H7" s="4" t="s">
        <v>162</v>
      </c>
      <c r="I7" s="4">
        <v>67</v>
      </c>
      <c r="J7" s="54"/>
    </row>
    <row r="8" spans="1:10" x14ac:dyDescent="0.2">
      <c r="A8" s="40"/>
      <c r="B8" s="22" t="s">
        <v>201</v>
      </c>
      <c r="C8" s="4">
        <v>8</v>
      </c>
      <c r="D8" s="4" t="s">
        <v>202</v>
      </c>
      <c r="E8" s="4">
        <v>539</v>
      </c>
      <c r="F8" s="4" t="s">
        <v>203</v>
      </c>
      <c r="G8" s="4">
        <v>131</v>
      </c>
      <c r="H8" s="4" t="s">
        <v>163</v>
      </c>
      <c r="I8" s="4">
        <v>129</v>
      </c>
      <c r="J8" s="54"/>
    </row>
    <row r="9" spans="1:10" x14ac:dyDescent="0.2">
      <c r="A9" s="40"/>
      <c r="B9" s="22" t="s">
        <v>204</v>
      </c>
      <c r="C9" s="4">
        <v>5</v>
      </c>
      <c r="D9" s="4" t="s">
        <v>205</v>
      </c>
      <c r="E9" s="4">
        <v>273</v>
      </c>
      <c r="F9" s="4" t="s">
        <v>206</v>
      </c>
      <c r="G9" s="4">
        <v>66</v>
      </c>
      <c r="H9" s="4" t="s">
        <v>164</v>
      </c>
      <c r="I9" s="4">
        <v>61</v>
      </c>
      <c r="J9" s="54"/>
    </row>
    <row r="10" spans="1:10" x14ac:dyDescent="0.2">
      <c r="A10" s="40"/>
      <c r="B10" s="22" t="s">
        <v>207</v>
      </c>
      <c r="C10" s="4">
        <v>5</v>
      </c>
      <c r="D10" s="4" t="s">
        <v>208</v>
      </c>
      <c r="E10" s="4">
        <v>140</v>
      </c>
      <c r="F10" s="4" t="s">
        <v>209</v>
      </c>
      <c r="G10" s="4">
        <v>41</v>
      </c>
      <c r="H10" s="4" t="s">
        <v>165</v>
      </c>
      <c r="I10" s="4">
        <v>39</v>
      </c>
      <c r="J10" s="54"/>
    </row>
    <row r="11" spans="1:10" x14ac:dyDescent="0.2">
      <c r="A11" s="40"/>
      <c r="B11" s="22" t="s">
        <v>210</v>
      </c>
      <c r="C11" s="4">
        <v>0</v>
      </c>
      <c r="D11" s="4" t="s">
        <v>211</v>
      </c>
      <c r="E11" s="4">
        <v>85</v>
      </c>
      <c r="F11" s="4" t="s">
        <v>212</v>
      </c>
      <c r="G11" s="4">
        <v>22</v>
      </c>
      <c r="H11" s="4" t="s">
        <v>166</v>
      </c>
      <c r="I11" s="4">
        <v>14</v>
      </c>
      <c r="J11" s="54"/>
    </row>
    <row r="12" spans="1:10" x14ac:dyDescent="0.2">
      <c r="A12" s="40"/>
      <c r="B12" s="22" t="s">
        <v>213</v>
      </c>
      <c r="C12" s="4">
        <v>0</v>
      </c>
      <c r="D12" s="4" t="s">
        <v>214</v>
      </c>
      <c r="E12" s="4">
        <v>57</v>
      </c>
      <c r="F12" s="4" t="s">
        <v>215</v>
      </c>
      <c r="G12" s="4">
        <v>9</v>
      </c>
      <c r="H12" s="4" t="s">
        <v>167</v>
      </c>
      <c r="I12" s="4">
        <v>11</v>
      </c>
      <c r="J12" s="54"/>
    </row>
    <row r="13" spans="1:10" x14ac:dyDescent="0.2">
      <c r="A13" s="40"/>
      <c r="B13" s="22" t="s">
        <v>216</v>
      </c>
      <c r="C13" s="4">
        <v>2</v>
      </c>
      <c r="D13" s="4" t="s">
        <v>217</v>
      </c>
      <c r="E13" s="4">
        <v>64</v>
      </c>
      <c r="F13" s="4" t="s">
        <v>218</v>
      </c>
      <c r="G13" s="4">
        <v>18</v>
      </c>
      <c r="H13" s="4" t="s">
        <v>168</v>
      </c>
      <c r="I13" s="4">
        <v>20</v>
      </c>
      <c r="J13" s="54"/>
    </row>
    <row r="14" spans="1:10" ht="12.75" thickBot="1" x14ac:dyDescent="0.25">
      <c r="A14" s="40"/>
      <c r="B14" s="23" t="s">
        <v>39</v>
      </c>
      <c r="C14" s="6">
        <f>SUM(C6:C13)</f>
        <v>24</v>
      </c>
      <c r="D14" s="6"/>
      <c r="E14" s="6">
        <f>SUM(E6:E13)</f>
        <v>1763</v>
      </c>
      <c r="F14" s="6"/>
      <c r="G14" s="6">
        <f>SUM(G6:G13)</f>
        <v>427</v>
      </c>
      <c r="H14" s="6"/>
      <c r="I14" s="6">
        <f>SUM(I6:I13)</f>
        <v>433</v>
      </c>
      <c r="J14" s="7">
        <f>C14+E14+G14+I14</f>
        <v>2647</v>
      </c>
    </row>
    <row r="15" spans="1:10" ht="12" customHeight="1" x14ac:dyDescent="0.2">
      <c r="A15" s="39" t="s">
        <v>42</v>
      </c>
      <c r="B15" s="22" t="s">
        <v>219</v>
      </c>
      <c r="C15" s="4">
        <v>0</v>
      </c>
      <c r="D15" s="4" t="s">
        <v>220</v>
      </c>
      <c r="E15" s="4">
        <v>99</v>
      </c>
      <c r="F15" s="4" t="s">
        <v>221</v>
      </c>
      <c r="G15" s="4">
        <v>24</v>
      </c>
      <c r="H15" s="4" t="s">
        <v>169</v>
      </c>
      <c r="I15" s="4">
        <v>23</v>
      </c>
      <c r="J15" s="54"/>
    </row>
    <row r="16" spans="1:10" x14ac:dyDescent="0.2">
      <c r="A16" s="40"/>
      <c r="B16" s="22" t="s">
        <v>222</v>
      </c>
      <c r="C16" s="4">
        <v>2</v>
      </c>
      <c r="D16" s="4" t="s">
        <v>223</v>
      </c>
      <c r="E16" s="4">
        <v>108</v>
      </c>
      <c r="F16" s="4" t="s">
        <v>224</v>
      </c>
      <c r="G16" s="4">
        <v>30</v>
      </c>
      <c r="H16" s="4" t="s">
        <v>170</v>
      </c>
      <c r="I16" s="4">
        <v>24</v>
      </c>
      <c r="J16" s="54"/>
    </row>
    <row r="17" spans="1:10" x14ac:dyDescent="0.2">
      <c r="A17" s="40"/>
      <c r="B17" s="22" t="s">
        <v>225</v>
      </c>
      <c r="C17" s="4">
        <v>1</v>
      </c>
      <c r="D17" s="4" t="s">
        <v>226</v>
      </c>
      <c r="E17" s="4">
        <v>362</v>
      </c>
      <c r="F17" s="4" t="s">
        <v>227</v>
      </c>
      <c r="G17" s="4">
        <v>57</v>
      </c>
      <c r="H17" s="4" t="s">
        <v>171</v>
      </c>
      <c r="I17" s="4">
        <v>60</v>
      </c>
      <c r="J17" s="54"/>
    </row>
    <row r="18" spans="1:10" x14ac:dyDescent="0.2">
      <c r="A18" s="40"/>
      <c r="B18" s="22" t="s">
        <v>228</v>
      </c>
      <c r="C18" s="4">
        <v>5</v>
      </c>
      <c r="D18" s="4" t="s">
        <v>229</v>
      </c>
      <c r="E18" s="4">
        <v>237</v>
      </c>
      <c r="F18" s="4" t="s">
        <v>230</v>
      </c>
      <c r="G18" s="4">
        <v>46</v>
      </c>
      <c r="H18" s="4" t="s">
        <v>172</v>
      </c>
      <c r="I18" s="4">
        <v>52</v>
      </c>
      <c r="J18" s="54"/>
    </row>
    <row r="19" spans="1:10" x14ac:dyDescent="0.2">
      <c r="A19" s="40"/>
      <c r="B19" s="22" t="s">
        <v>231</v>
      </c>
      <c r="C19" s="4">
        <v>1</v>
      </c>
      <c r="D19" s="4" t="s">
        <v>232</v>
      </c>
      <c r="E19" s="4">
        <v>102</v>
      </c>
      <c r="F19" s="4" t="s">
        <v>233</v>
      </c>
      <c r="G19" s="4">
        <v>26</v>
      </c>
      <c r="H19" s="4" t="s">
        <v>173</v>
      </c>
      <c r="I19" s="4">
        <v>19</v>
      </c>
      <c r="J19" s="54"/>
    </row>
    <row r="20" spans="1:10" x14ac:dyDescent="0.2">
      <c r="A20" s="40"/>
      <c r="B20" s="22" t="s">
        <v>234</v>
      </c>
      <c r="C20" s="4">
        <v>1</v>
      </c>
      <c r="D20" s="4" t="s">
        <v>235</v>
      </c>
      <c r="E20" s="4">
        <v>32</v>
      </c>
      <c r="F20" s="4" t="s">
        <v>236</v>
      </c>
      <c r="G20" s="4">
        <v>12</v>
      </c>
      <c r="H20" s="4" t="s">
        <v>174</v>
      </c>
      <c r="I20" s="4">
        <v>10</v>
      </c>
      <c r="J20" s="54"/>
    </row>
    <row r="21" spans="1:10" x14ac:dyDescent="0.2">
      <c r="A21" s="40"/>
      <c r="B21" s="22" t="s">
        <v>237</v>
      </c>
      <c r="C21" s="4">
        <v>0</v>
      </c>
      <c r="D21" s="4" t="s">
        <v>238</v>
      </c>
      <c r="E21" s="4">
        <v>22</v>
      </c>
      <c r="F21" s="4" t="s">
        <v>239</v>
      </c>
      <c r="G21" s="4">
        <v>2</v>
      </c>
      <c r="H21" s="4" t="s">
        <v>175</v>
      </c>
      <c r="I21" s="4">
        <v>2</v>
      </c>
      <c r="J21" s="54"/>
    </row>
    <row r="22" spans="1:10" x14ac:dyDescent="0.2">
      <c r="A22" s="40"/>
      <c r="B22" s="22" t="s">
        <v>240</v>
      </c>
      <c r="C22" s="4">
        <v>0</v>
      </c>
      <c r="D22" s="4" t="s">
        <v>241</v>
      </c>
      <c r="E22" s="4">
        <v>20</v>
      </c>
      <c r="F22" s="4" t="s">
        <v>242</v>
      </c>
      <c r="G22" s="4">
        <v>2</v>
      </c>
      <c r="H22" s="4" t="s">
        <v>176</v>
      </c>
      <c r="I22" s="4">
        <v>1</v>
      </c>
      <c r="J22" s="54"/>
    </row>
    <row r="23" spans="1:10" ht="12.75" thickBot="1" x14ac:dyDescent="0.25">
      <c r="A23" s="40"/>
      <c r="B23" s="23" t="s">
        <v>39</v>
      </c>
      <c r="C23" s="6">
        <f>SUM(C15:C22)</f>
        <v>10</v>
      </c>
      <c r="D23" s="6"/>
      <c r="E23" s="6">
        <f>SUM(E15:E22)</f>
        <v>982</v>
      </c>
      <c r="F23" s="6"/>
      <c r="G23" s="6">
        <f>SUM(G15:G22)</f>
        <v>199</v>
      </c>
      <c r="H23" s="6"/>
      <c r="I23" s="6">
        <f>SUM(I15:I22)</f>
        <v>191</v>
      </c>
      <c r="J23" s="7">
        <f>C23+E23+G23+I23</f>
        <v>1382</v>
      </c>
    </row>
    <row r="24" spans="1:10" ht="12" customHeight="1" x14ac:dyDescent="0.2">
      <c r="A24" s="39" t="s">
        <v>43</v>
      </c>
      <c r="B24" s="22" t="s">
        <v>243</v>
      </c>
      <c r="C24" s="4"/>
      <c r="D24" s="4" t="s">
        <v>244</v>
      </c>
      <c r="E24" s="4">
        <v>56</v>
      </c>
      <c r="F24" s="4" t="s">
        <v>245</v>
      </c>
      <c r="G24" s="4">
        <v>4</v>
      </c>
      <c r="H24" s="4" t="s">
        <v>177</v>
      </c>
      <c r="I24" s="4">
        <v>7</v>
      </c>
      <c r="J24" s="54"/>
    </row>
    <row r="25" spans="1:10" x14ac:dyDescent="0.2">
      <c r="A25" s="40"/>
      <c r="B25" s="22" t="s">
        <v>246</v>
      </c>
      <c r="C25" s="4">
        <v>0</v>
      </c>
      <c r="D25" s="4" t="s">
        <v>247</v>
      </c>
      <c r="E25" s="4">
        <v>39</v>
      </c>
      <c r="F25" s="4" t="s">
        <v>248</v>
      </c>
      <c r="G25" s="4">
        <v>8</v>
      </c>
      <c r="H25" s="4" t="s">
        <v>178</v>
      </c>
      <c r="I25" s="4">
        <v>8</v>
      </c>
      <c r="J25" s="54"/>
    </row>
    <row r="26" spans="1:10" x14ac:dyDescent="0.2">
      <c r="A26" s="40"/>
      <c r="B26" s="22" t="s">
        <v>249</v>
      </c>
      <c r="C26" s="4">
        <v>0</v>
      </c>
      <c r="D26" s="4" t="s">
        <v>250</v>
      </c>
      <c r="E26" s="4">
        <v>154</v>
      </c>
      <c r="F26" s="4" t="s">
        <v>251</v>
      </c>
      <c r="G26" s="4">
        <v>23</v>
      </c>
      <c r="H26" s="4" t="s">
        <v>179</v>
      </c>
      <c r="I26" s="4">
        <v>25</v>
      </c>
      <c r="J26" s="54"/>
    </row>
    <row r="27" spans="1:10" x14ac:dyDescent="0.2">
      <c r="A27" s="40"/>
      <c r="B27" s="22" t="s">
        <v>252</v>
      </c>
      <c r="C27" s="4">
        <v>0</v>
      </c>
      <c r="D27" s="4" t="s">
        <v>253</v>
      </c>
      <c r="E27" s="4">
        <v>74</v>
      </c>
      <c r="F27" s="4" t="s">
        <v>254</v>
      </c>
      <c r="G27" s="4">
        <v>21</v>
      </c>
      <c r="H27" s="4" t="s">
        <v>180</v>
      </c>
      <c r="I27" s="4">
        <v>6</v>
      </c>
      <c r="J27" s="54"/>
    </row>
    <row r="28" spans="1:10" x14ac:dyDescent="0.2">
      <c r="A28" s="40"/>
      <c r="B28" s="22" t="s">
        <v>255</v>
      </c>
      <c r="C28" s="4">
        <v>2</v>
      </c>
      <c r="D28" s="4" t="s">
        <v>256</v>
      </c>
      <c r="E28" s="4">
        <v>35</v>
      </c>
      <c r="F28" s="4" t="s">
        <v>257</v>
      </c>
      <c r="G28" s="4">
        <v>5</v>
      </c>
      <c r="H28" s="4" t="s">
        <v>181</v>
      </c>
      <c r="I28" s="4">
        <v>6</v>
      </c>
      <c r="J28" s="54"/>
    </row>
    <row r="29" spans="1:10" x14ac:dyDescent="0.2">
      <c r="A29" s="40"/>
      <c r="B29" s="22" t="s">
        <v>258</v>
      </c>
      <c r="C29" s="4">
        <v>0</v>
      </c>
      <c r="D29" s="4" t="s">
        <v>259</v>
      </c>
      <c r="E29" s="4">
        <v>15</v>
      </c>
      <c r="F29" s="4" t="s">
        <v>260</v>
      </c>
      <c r="G29" s="4">
        <v>1</v>
      </c>
      <c r="H29" s="4" t="s">
        <v>182</v>
      </c>
      <c r="I29" s="4">
        <v>1</v>
      </c>
      <c r="J29" s="54"/>
    </row>
    <row r="30" spans="1:10" x14ac:dyDescent="0.2">
      <c r="A30" s="40"/>
      <c r="B30" s="22" t="s">
        <v>261</v>
      </c>
      <c r="C30" s="4">
        <v>0</v>
      </c>
      <c r="D30" s="4" t="s">
        <v>262</v>
      </c>
      <c r="E30" s="4">
        <v>9</v>
      </c>
      <c r="F30" s="4" t="s">
        <v>263</v>
      </c>
      <c r="G30" s="4">
        <v>2</v>
      </c>
      <c r="H30" s="4" t="s">
        <v>183</v>
      </c>
      <c r="I30" s="4">
        <v>2</v>
      </c>
      <c r="J30" s="54"/>
    </row>
    <row r="31" spans="1:10" x14ac:dyDescent="0.2">
      <c r="A31" s="40"/>
      <c r="B31" s="22" t="s">
        <v>264</v>
      </c>
      <c r="C31" s="4">
        <v>0</v>
      </c>
      <c r="D31" s="4" t="s">
        <v>265</v>
      </c>
      <c r="E31" s="4">
        <v>2</v>
      </c>
      <c r="F31" s="4" t="s">
        <v>266</v>
      </c>
      <c r="G31" s="4">
        <v>0</v>
      </c>
      <c r="H31" s="4" t="s">
        <v>184</v>
      </c>
      <c r="I31" s="4">
        <v>0</v>
      </c>
      <c r="J31" s="54"/>
    </row>
    <row r="32" spans="1:10" ht="12.75" thickBot="1" x14ac:dyDescent="0.25">
      <c r="A32" s="40"/>
      <c r="B32" s="23" t="s">
        <v>39</v>
      </c>
      <c r="C32" s="6">
        <f>SUM(C24:C31)</f>
        <v>2</v>
      </c>
      <c r="D32" s="6"/>
      <c r="E32" s="6">
        <f>SUM(E24:E31)</f>
        <v>384</v>
      </c>
      <c r="F32" s="6"/>
      <c r="G32" s="6">
        <f>SUM(G24:G31)</f>
        <v>64</v>
      </c>
      <c r="H32" s="6"/>
      <c r="I32" s="6">
        <f>SUM(I24:I31)</f>
        <v>55</v>
      </c>
      <c r="J32" s="7">
        <f>C32+E32+G32+I32</f>
        <v>505</v>
      </c>
    </row>
    <row r="33" spans="1:10" ht="12" customHeight="1" x14ac:dyDescent="0.2">
      <c r="A33" s="39" t="s">
        <v>44</v>
      </c>
      <c r="B33" s="22" t="s">
        <v>220</v>
      </c>
      <c r="C33" s="4">
        <v>0</v>
      </c>
      <c r="D33" s="4" t="s">
        <v>267</v>
      </c>
      <c r="E33" s="4">
        <v>14</v>
      </c>
      <c r="F33" s="4" t="s">
        <v>268</v>
      </c>
      <c r="G33" s="4">
        <v>1</v>
      </c>
      <c r="H33" s="4" t="s">
        <v>185</v>
      </c>
      <c r="I33" s="4">
        <v>4</v>
      </c>
      <c r="J33" s="54"/>
    </row>
    <row r="34" spans="1:10" x14ac:dyDescent="0.2">
      <c r="A34" s="40"/>
      <c r="B34" s="22" t="s">
        <v>269</v>
      </c>
      <c r="C34" s="4">
        <v>0</v>
      </c>
      <c r="D34" s="4" t="s">
        <v>270</v>
      </c>
      <c r="E34" s="4">
        <v>17</v>
      </c>
      <c r="F34" s="4" t="s">
        <v>271</v>
      </c>
      <c r="G34" s="4">
        <v>4</v>
      </c>
      <c r="H34" s="4" t="s">
        <v>186</v>
      </c>
      <c r="I34" s="4">
        <v>2</v>
      </c>
      <c r="J34" s="54"/>
    </row>
    <row r="35" spans="1:10" x14ac:dyDescent="0.2">
      <c r="A35" s="40"/>
      <c r="B35" s="22" t="s">
        <v>163</v>
      </c>
      <c r="C35" s="4">
        <v>1</v>
      </c>
      <c r="D35" s="4" t="s">
        <v>272</v>
      </c>
      <c r="E35" s="4">
        <v>68</v>
      </c>
      <c r="F35" s="4" t="s">
        <v>273</v>
      </c>
      <c r="G35" s="4">
        <v>17</v>
      </c>
      <c r="H35" s="4" t="s">
        <v>187</v>
      </c>
      <c r="I35" s="4">
        <v>10</v>
      </c>
      <c r="J35" s="54"/>
    </row>
    <row r="36" spans="1:10" x14ac:dyDescent="0.2">
      <c r="A36" s="40"/>
      <c r="B36" s="22" t="s">
        <v>164</v>
      </c>
      <c r="C36" s="4">
        <v>0</v>
      </c>
      <c r="D36" s="4" t="s">
        <v>274</v>
      </c>
      <c r="E36" s="4">
        <v>37</v>
      </c>
      <c r="F36" s="4" t="s">
        <v>275</v>
      </c>
      <c r="G36" s="4">
        <v>7</v>
      </c>
      <c r="H36" s="4" t="s">
        <v>188</v>
      </c>
      <c r="I36" s="4">
        <v>7</v>
      </c>
      <c r="J36" s="54"/>
    </row>
    <row r="37" spans="1:10" x14ac:dyDescent="0.2">
      <c r="A37" s="40"/>
      <c r="B37" s="22" t="s">
        <v>165</v>
      </c>
      <c r="C37" s="4">
        <v>0</v>
      </c>
      <c r="D37" s="4" t="s">
        <v>276</v>
      </c>
      <c r="E37" s="4">
        <v>9</v>
      </c>
      <c r="F37" s="4" t="s">
        <v>277</v>
      </c>
      <c r="G37" s="4">
        <v>2</v>
      </c>
      <c r="H37" s="4" t="s">
        <v>189</v>
      </c>
      <c r="I37" s="4">
        <v>4</v>
      </c>
      <c r="J37" s="54"/>
    </row>
    <row r="38" spans="1:10" x14ac:dyDescent="0.2">
      <c r="A38" s="40"/>
      <c r="B38" s="22" t="s">
        <v>166</v>
      </c>
      <c r="C38" s="4">
        <v>0</v>
      </c>
      <c r="D38" s="4" t="s">
        <v>278</v>
      </c>
      <c r="E38" s="4">
        <v>1</v>
      </c>
      <c r="F38" s="4" t="s">
        <v>279</v>
      </c>
      <c r="G38" s="4">
        <v>0</v>
      </c>
      <c r="H38" s="4" t="s">
        <v>190</v>
      </c>
      <c r="I38" s="4">
        <v>0</v>
      </c>
      <c r="J38" s="54"/>
    </row>
    <row r="39" spans="1:10" x14ac:dyDescent="0.2">
      <c r="A39" s="40"/>
      <c r="B39" s="22" t="s">
        <v>167</v>
      </c>
      <c r="C39" s="4">
        <v>0</v>
      </c>
      <c r="D39" s="4" t="s">
        <v>280</v>
      </c>
      <c r="E39" s="4">
        <v>3</v>
      </c>
      <c r="F39" s="4" t="s">
        <v>281</v>
      </c>
      <c r="G39" s="4">
        <v>0</v>
      </c>
      <c r="H39" s="4" t="s">
        <v>191</v>
      </c>
      <c r="I39" s="4">
        <v>1</v>
      </c>
      <c r="J39" s="54"/>
    </row>
    <row r="40" spans="1:10" x14ac:dyDescent="0.2">
      <c r="A40" s="40"/>
      <c r="B40" s="22" t="s">
        <v>168</v>
      </c>
      <c r="C40" s="4">
        <v>0</v>
      </c>
      <c r="D40" s="4" t="s">
        <v>282</v>
      </c>
      <c r="E40" s="4">
        <v>0</v>
      </c>
      <c r="F40" s="4" t="s">
        <v>283</v>
      </c>
      <c r="G40" s="4">
        <v>0</v>
      </c>
      <c r="H40" s="4" t="s">
        <v>192</v>
      </c>
      <c r="I40" s="4">
        <v>0</v>
      </c>
      <c r="J40" s="54"/>
    </row>
    <row r="41" spans="1:10" ht="12.75" thickBot="1" x14ac:dyDescent="0.25">
      <c r="A41" s="40"/>
      <c r="B41" s="24" t="s">
        <v>39</v>
      </c>
      <c r="C41" s="8">
        <f>SUM(C33:C40)</f>
        <v>1</v>
      </c>
      <c r="D41" s="8"/>
      <c r="E41" s="8">
        <f>SUM(E33:E40)</f>
        <v>149</v>
      </c>
      <c r="F41" s="8"/>
      <c r="G41" s="8">
        <f>SUM(G33:G40)</f>
        <v>31</v>
      </c>
      <c r="H41" s="8"/>
      <c r="I41" s="8">
        <f>SUM(I33:I40)</f>
        <v>28</v>
      </c>
      <c r="J41" s="9">
        <f>C41+E41+G41+I41</f>
        <v>209</v>
      </c>
    </row>
    <row r="42" spans="1:10" ht="12.75" thickBot="1" x14ac:dyDescent="0.25">
      <c r="A42" s="25" t="s">
        <v>39</v>
      </c>
      <c r="B42" s="26"/>
      <c r="C42" s="27">
        <f>C14+C23+C32+C41</f>
        <v>37</v>
      </c>
      <c r="D42" s="27"/>
      <c r="E42" s="27">
        <f>E14+E23+E32+E41</f>
        <v>3278</v>
      </c>
      <c r="F42" s="27"/>
      <c r="G42" s="27">
        <f>G14+G23+G32+G41</f>
        <v>721</v>
      </c>
      <c r="H42" s="27"/>
      <c r="I42" s="27">
        <f>I14+I23+I32+I41</f>
        <v>707</v>
      </c>
      <c r="J42" s="28">
        <f>C42+E42+G42+I42</f>
        <v>4743</v>
      </c>
    </row>
    <row r="44" spans="1:10" x14ac:dyDescent="0.2">
      <c r="A44" s="29" t="s">
        <v>288</v>
      </c>
      <c r="B44" s="29"/>
      <c r="C44" s="29"/>
      <c r="D44" s="29"/>
      <c r="E44" s="29"/>
      <c r="F44" s="29"/>
    </row>
    <row r="45" spans="1:10" x14ac:dyDescent="0.2">
      <c r="A45" s="13">
        <v>43557</v>
      </c>
    </row>
    <row r="46" spans="1:10" x14ac:dyDescent="0.2">
      <c r="A46" s="36" t="s">
        <v>286</v>
      </c>
      <c r="B46" s="36"/>
      <c r="C46" s="36"/>
    </row>
    <row r="47" spans="1:10" x14ac:dyDescent="0.2">
      <c r="G47" s="37" t="s">
        <v>45</v>
      </c>
      <c r="H47" s="37"/>
      <c r="I47" s="37"/>
      <c r="J47" s="37"/>
    </row>
    <row r="48" spans="1:10" x14ac:dyDescent="0.2">
      <c r="G48" s="37" t="s">
        <v>46</v>
      </c>
      <c r="H48" s="37"/>
      <c r="I48" s="37"/>
      <c r="J48" s="37"/>
    </row>
    <row r="52" spans="1:1" x14ac:dyDescent="0.2">
      <c r="A52" s="15"/>
    </row>
  </sheetData>
  <mergeCells count="22">
    <mergeCell ref="A24:A32"/>
    <mergeCell ref="J24:J31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A6:A14"/>
    <mergeCell ref="J6:J13"/>
    <mergeCell ref="A15:A23"/>
    <mergeCell ref="J15:J22"/>
    <mergeCell ref="A33:A41"/>
    <mergeCell ref="J33:J40"/>
    <mergeCell ref="A46:C46"/>
    <mergeCell ref="G47:J47"/>
    <mergeCell ref="G48:J48"/>
  </mergeCells>
  <pageMargins left="0.70866141732283472" right="0.70866141732283472" top="0.55118110236220474" bottom="0.55118110236220474" header="0.31496062992125984" footer="0.31496062992125984"/>
  <pageSetup paperSize="9" scale="86" orientation="landscape" r:id="rId1"/>
  <rowBreaks count="1" manualBreakCount="1">
    <brk id="4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16" zoomScaleNormal="100" workbookViewId="0">
      <selection activeCell="J43" sqref="J43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1.28515625" style="1" customWidth="1"/>
    <col min="4" max="4" width="12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26.25" customHeight="1" x14ac:dyDescent="0.2">
      <c r="A1" s="38" t="s">
        <v>289</v>
      </c>
      <c r="B1" s="38"/>
      <c r="C1" s="38"/>
      <c r="D1" s="38"/>
      <c r="E1" s="38"/>
      <c r="F1" s="38"/>
    </row>
    <row r="2" spans="1:6" ht="12.75" thickBot="1" x14ac:dyDescent="0.25"/>
    <row r="3" spans="1:6" x14ac:dyDescent="0.2">
      <c r="A3" s="42"/>
      <c r="B3" s="45" t="s">
        <v>40</v>
      </c>
      <c r="C3" s="48" t="s">
        <v>36</v>
      </c>
      <c r="D3" s="48"/>
      <c r="E3" s="48"/>
      <c r="F3" s="49" t="s">
        <v>39</v>
      </c>
    </row>
    <row r="4" spans="1:6" ht="12" customHeight="1" x14ac:dyDescent="0.2">
      <c r="A4" s="43"/>
      <c r="B4" s="46"/>
      <c r="C4" s="52" t="s">
        <v>47</v>
      </c>
      <c r="D4" s="52" t="s">
        <v>37</v>
      </c>
      <c r="E4" s="52" t="s">
        <v>38</v>
      </c>
      <c r="F4" s="50"/>
    </row>
    <row r="5" spans="1:6" ht="31.5" customHeight="1" thickBot="1" x14ac:dyDescent="0.25">
      <c r="A5" s="44"/>
      <c r="B5" s="47"/>
      <c r="C5" s="53"/>
      <c r="D5" s="53"/>
      <c r="E5" s="53"/>
      <c r="F5" s="51"/>
    </row>
    <row r="6" spans="1:6" x14ac:dyDescent="0.2">
      <c r="A6" s="39" t="s">
        <v>41</v>
      </c>
      <c r="B6" s="2" t="s">
        <v>292</v>
      </c>
      <c r="C6" s="2">
        <f>10520+7</f>
        <v>10527</v>
      </c>
      <c r="D6" s="2">
        <v>2150</v>
      </c>
      <c r="E6" s="2">
        <v>360</v>
      </c>
      <c r="F6" s="3">
        <f t="shared" ref="F6:F42" si="0">SUM(C6:E6)</f>
        <v>13037</v>
      </c>
    </row>
    <row r="7" spans="1:6" x14ac:dyDescent="0.2">
      <c r="A7" s="40"/>
      <c r="B7" s="4" t="s">
        <v>293</v>
      </c>
      <c r="C7" s="4">
        <f>22895+27</f>
        <v>22922</v>
      </c>
      <c r="D7" s="4">
        <v>5794</v>
      </c>
      <c r="E7" s="4">
        <v>18</v>
      </c>
      <c r="F7" s="5">
        <f t="shared" si="0"/>
        <v>28734</v>
      </c>
    </row>
    <row r="8" spans="1:6" x14ac:dyDescent="0.2">
      <c r="A8" s="40"/>
      <c r="B8" s="4" t="s">
        <v>294</v>
      </c>
      <c r="C8" s="4">
        <f>20695+120</f>
        <v>20815</v>
      </c>
      <c r="D8" s="4">
        <f>14698+128</f>
        <v>14826</v>
      </c>
      <c r="E8" s="4">
        <v>49</v>
      </c>
      <c r="F8" s="5">
        <f t="shared" si="0"/>
        <v>35690</v>
      </c>
    </row>
    <row r="9" spans="1:6" x14ac:dyDescent="0.2">
      <c r="A9" s="40"/>
      <c r="B9" s="4" t="s">
        <v>295</v>
      </c>
      <c r="C9" s="4">
        <f>11788+144</f>
        <v>11932</v>
      </c>
      <c r="D9" s="4">
        <f>4361+59</f>
        <v>4420</v>
      </c>
      <c r="E9" s="4">
        <v>38</v>
      </c>
      <c r="F9" s="5">
        <f t="shared" si="0"/>
        <v>16390</v>
      </c>
    </row>
    <row r="10" spans="1:6" x14ac:dyDescent="0.2">
      <c r="A10" s="40"/>
      <c r="B10" s="4" t="s">
        <v>296</v>
      </c>
      <c r="C10" s="4">
        <f>7926+97</f>
        <v>8023</v>
      </c>
      <c r="D10" s="4">
        <f>1688+20</f>
        <v>1708</v>
      </c>
      <c r="E10" s="4">
        <v>16</v>
      </c>
      <c r="F10" s="5">
        <f t="shared" si="0"/>
        <v>9747</v>
      </c>
    </row>
    <row r="11" spans="1:6" x14ac:dyDescent="0.2">
      <c r="A11" s="40"/>
      <c r="B11" s="4" t="s">
        <v>297</v>
      </c>
      <c r="C11" s="4">
        <f>6587+49</f>
        <v>6636</v>
      </c>
      <c r="D11" s="4">
        <f>565+4</f>
        <v>569</v>
      </c>
      <c r="E11" s="4">
        <v>11</v>
      </c>
      <c r="F11" s="5">
        <f t="shared" si="0"/>
        <v>7216</v>
      </c>
    </row>
    <row r="12" spans="1:6" x14ac:dyDescent="0.2">
      <c r="A12" s="40"/>
      <c r="B12" s="4" t="s">
        <v>298</v>
      </c>
      <c r="C12" s="4">
        <f>5029+25</f>
        <v>5054</v>
      </c>
      <c r="D12" s="4">
        <f>118+12</f>
        <v>130</v>
      </c>
      <c r="E12" s="4">
        <v>3</v>
      </c>
      <c r="F12" s="5">
        <f t="shared" si="0"/>
        <v>5187</v>
      </c>
    </row>
    <row r="13" spans="1:6" x14ac:dyDescent="0.2">
      <c r="A13" s="40"/>
      <c r="B13" s="4" t="s">
        <v>299</v>
      </c>
      <c r="C13" s="4">
        <f>6091+8</f>
        <v>6099</v>
      </c>
      <c r="D13" s="4">
        <f>11+5</f>
        <v>16</v>
      </c>
      <c r="E13" s="4">
        <v>3</v>
      </c>
      <c r="F13" s="5">
        <f t="shared" si="0"/>
        <v>6118</v>
      </c>
    </row>
    <row r="14" spans="1:6" x14ac:dyDescent="0.2">
      <c r="A14" s="40"/>
      <c r="B14" s="6" t="s">
        <v>39</v>
      </c>
      <c r="C14" s="6">
        <f>SUM(C6:C13)</f>
        <v>92008</v>
      </c>
      <c r="D14" s="6">
        <f>SUM(D6:D13)</f>
        <v>29613</v>
      </c>
      <c r="E14" s="6">
        <f>SUM(E6:E13)</f>
        <v>498</v>
      </c>
      <c r="F14" s="7">
        <f t="shared" si="0"/>
        <v>122119</v>
      </c>
    </row>
    <row r="15" spans="1:6" x14ac:dyDescent="0.2">
      <c r="A15" s="40" t="s">
        <v>42</v>
      </c>
      <c r="B15" s="4" t="s">
        <v>300</v>
      </c>
      <c r="C15" s="4">
        <f>5196+41</f>
        <v>5237</v>
      </c>
      <c r="D15" s="4">
        <v>114</v>
      </c>
      <c r="E15" s="4">
        <v>153</v>
      </c>
      <c r="F15" s="5">
        <f t="shared" si="0"/>
        <v>5504</v>
      </c>
    </row>
    <row r="16" spans="1:6" x14ac:dyDescent="0.2">
      <c r="A16" s="40"/>
      <c r="B16" s="4" t="s">
        <v>301</v>
      </c>
      <c r="C16" s="4">
        <f>4285+66</f>
        <v>4351</v>
      </c>
      <c r="D16" s="4">
        <v>109</v>
      </c>
      <c r="E16" s="4">
        <v>12</v>
      </c>
      <c r="F16" s="5">
        <f t="shared" si="0"/>
        <v>4472</v>
      </c>
    </row>
    <row r="17" spans="1:6" x14ac:dyDescent="0.2">
      <c r="A17" s="40"/>
      <c r="B17" s="4" t="s">
        <v>302</v>
      </c>
      <c r="C17" s="4">
        <f>7106+85</f>
        <v>7191</v>
      </c>
      <c r="D17" s="4">
        <f>283+6</f>
        <v>289</v>
      </c>
      <c r="E17" s="4">
        <v>38</v>
      </c>
      <c r="F17" s="5">
        <f t="shared" si="0"/>
        <v>7518</v>
      </c>
    </row>
    <row r="18" spans="1:6" x14ac:dyDescent="0.2">
      <c r="A18" s="40"/>
      <c r="B18" s="4" t="s">
        <v>303</v>
      </c>
      <c r="C18" s="4">
        <f>4250+74</f>
        <v>4324</v>
      </c>
      <c r="D18" s="4">
        <f>137+4</f>
        <v>141</v>
      </c>
      <c r="E18" s="4">
        <v>24</v>
      </c>
      <c r="F18" s="5">
        <f t="shared" si="0"/>
        <v>4489</v>
      </c>
    </row>
    <row r="19" spans="1:6" x14ac:dyDescent="0.2">
      <c r="A19" s="40"/>
      <c r="B19" s="4" t="s">
        <v>304</v>
      </c>
      <c r="C19" s="4">
        <f>2947+39</f>
        <v>2986</v>
      </c>
      <c r="D19" s="4">
        <f>52+3</f>
        <v>55</v>
      </c>
      <c r="E19" s="4">
        <v>14</v>
      </c>
      <c r="F19" s="5">
        <f t="shared" si="0"/>
        <v>3055</v>
      </c>
    </row>
    <row r="20" spans="1:6" x14ac:dyDescent="0.2">
      <c r="A20" s="40"/>
      <c r="B20" s="4" t="s">
        <v>305</v>
      </c>
      <c r="C20" s="4">
        <f>1850+14</f>
        <v>1864</v>
      </c>
      <c r="D20" s="4">
        <f>14+1</f>
        <v>15</v>
      </c>
      <c r="E20" s="4">
        <v>2</v>
      </c>
      <c r="F20" s="5">
        <f t="shared" si="0"/>
        <v>1881</v>
      </c>
    </row>
    <row r="21" spans="1:6" x14ac:dyDescent="0.2">
      <c r="A21" s="40"/>
      <c r="B21" s="4" t="s">
        <v>306</v>
      </c>
      <c r="C21" s="4">
        <f>1030+4</f>
        <v>1034</v>
      </c>
      <c r="D21" s="4">
        <v>1</v>
      </c>
      <c r="E21" s="4">
        <v>3</v>
      </c>
      <c r="F21" s="5">
        <f t="shared" si="0"/>
        <v>1038</v>
      </c>
    </row>
    <row r="22" spans="1:6" x14ac:dyDescent="0.2">
      <c r="A22" s="40"/>
      <c r="B22" s="4" t="s">
        <v>307</v>
      </c>
      <c r="C22" s="4">
        <v>250</v>
      </c>
      <c r="D22" s="4">
        <v>0</v>
      </c>
      <c r="E22" s="4">
        <v>0</v>
      </c>
      <c r="F22" s="5">
        <f t="shared" si="0"/>
        <v>250</v>
      </c>
    </row>
    <row r="23" spans="1:6" x14ac:dyDescent="0.2">
      <c r="A23" s="40"/>
      <c r="B23" s="6" t="s">
        <v>39</v>
      </c>
      <c r="C23" s="6">
        <f>SUM(C15:C22)</f>
        <v>27237</v>
      </c>
      <c r="D23" s="6">
        <f>SUM(D15:D22)</f>
        <v>724</v>
      </c>
      <c r="E23" s="6">
        <f>SUM(E15:E22)</f>
        <v>246</v>
      </c>
      <c r="F23" s="7">
        <f t="shared" si="0"/>
        <v>28207</v>
      </c>
    </row>
    <row r="24" spans="1:6" x14ac:dyDescent="0.2">
      <c r="A24" s="40" t="s">
        <v>43</v>
      </c>
      <c r="B24" s="4" t="s">
        <v>308</v>
      </c>
      <c r="C24" s="4">
        <v>80</v>
      </c>
      <c r="D24" s="4">
        <v>42</v>
      </c>
      <c r="E24" s="4">
        <v>55</v>
      </c>
      <c r="F24" s="5">
        <f t="shared" si="0"/>
        <v>177</v>
      </c>
    </row>
    <row r="25" spans="1:6" x14ac:dyDescent="0.2">
      <c r="A25" s="40"/>
      <c r="B25" s="4" t="s">
        <v>309</v>
      </c>
      <c r="C25" s="4">
        <v>66</v>
      </c>
      <c r="D25" s="4">
        <v>30</v>
      </c>
      <c r="E25" s="4">
        <v>2</v>
      </c>
      <c r="F25" s="5">
        <f t="shared" si="0"/>
        <v>98</v>
      </c>
    </row>
    <row r="26" spans="1:6" x14ac:dyDescent="0.2">
      <c r="A26" s="40"/>
      <c r="B26" s="4" t="s">
        <v>310</v>
      </c>
      <c r="C26" s="4">
        <f>185+2</f>
        <v>187</v>
      </c>
      <c r="D26" s="4">
        <f>90+2</f>
        <v>92</v>
      </c>
      <c r="E26" s="4">
        <v>9</v>
      </c>
      <c r="F26" s="5">
        <f t="shared" si="0"/>
        <v>288</v>
      </c>
    </row>
    <row r="27" spans="1:6" x14ac:dyDescent="0.2">
      <c r="A27" s="40"/>
      <c r="B27" s="4" t="s">
        <v>311</v>
      </c>
      <c r="C27" s="4">
        <f>110+1</f>
        <v>111</v>
      </c>
      <c r="D27" s="4">
        <f>57+4</f>
        <v>61</v>
      </c>
      <c r="E27" s="4">
        <v>3</v>
      </c>
      <c r="F27" s="5">
        <f t="shared" si="0"/>
        <v>175</v>
      </c>
    </row>
    <row r="28" spans="1:6" x14ac:dyDescent="0.2">
      <c r="A28" s="40"/>
      <c r="B28" s="4" t="s">
        <v>312</v>
      </c>
      <c r="C28" s="4">
        <v>97</v>
      </c>
      <c r="D28" s="4">
        <f>23+1</f>
        <v>24</v>
      </c>
      <c r="E28" s="4">
        <v>2</v>
      </c>
      <c r="F28" s="5">
        <f t="shared" si="0"/>
        <v>123</v>
      </c>
    </row>
    <row r="29" spans="1:6" x14ac:dyDescent="0.2">
      <c r="A29" s="40"/>
      <c r="B29" s="4" t="s">
        <v>313</v>
      </c>
      <c r="C29" s="4">
        <v>54</v>
      </c>
      <c r="D29" s="4">
        <v>8</v>
      </c>
      <c r="E29" s="4">
        <v>0</v>
      </c>
      <c r="F29" s="5">
        <f t="shared" si="0"/>
        <v>62</v>
      </c>
    </row>
    <row r="30" spans="1:6" x14ac:dyDescent="0.2">
      <c r="A30" s="40"/>
      <c r="B30" s="4" t="s">
        <v>314</v>
      </c>
      <c r="C30" s="4">
        <f>13+1</f>
        <v>14</v>
      </c>
      <c r="D30" s="4">
        <v>0</v>
      </c>
      <c r="E30" s="4">
        <v>0</v>
      </c>
      <c r="F30" s="5">
        <f t="shared" si="0"/>
        <v>14</v>
      </c>
    </row>
    <row r="31" spans="1:6" x14ac:dyDescent="0.2">
      <c r="A31" s="40"/>
      <c r="B31" s="4" t="s">
        <v>315</v>
      </c>
      <c r="C31" s="4">
        <v>5</v>
      </c>
      <c r="D31" s="4">
        <v>0</v>
      </c>
      <c r="E31" s="4">
        <v>0</v>
      </c>
      <c r="F31" s="5">
        <f t="shared" si="0"/>
        <v>5</v>
      </c>
    </row>
    <row r="32" spans="1:6" x14ac:dyDescent="0.2">
      <c r="A32" s="40"/>
      <c r="B32" s="6" t="s">
        <v>39</v>
      </c>
      <c r="C32" s="6">
        <f>SUM(C24:C31)</f>
        <v>614</v>
      </c>
      <c r="D32" s="6">
        <f>SUM(D24:D31)</f>
        <v>257</v>
      </c>
      <c r="E32" s="6">
        <f>SUM(E24:E31)</f>
        <v>71</v>
      </c>
      <c r="F32" s="7">
        <f t="shared" si="0"/>
        <v>942</v>
      </c>
    </row>
    <row r="33" spans="1:6" x14ac:dyDescent="0.2">
      <c r="A33" s="40" t="s">
        <v>44</v>
      </c>
      <c r="B33" s="4" t="s">
        <v>316</v>
      </c>
      <c r="C33" s="4">
        <v>16</v>
      </c>
      <c r="D33" s="4">
        <v>3</v>
      </c>
      <c r="E33" s="4">
        <v>25</v>
      </c>
      <c r="F33" s="5">
        <f t="shared" si="0"/>
        <v>44</v>
      </c>
    </row>
    <row r="34" spans="1:6" x14ac:dyDescent="0.2">
      <c r="A34" s="40"/>
      <c r="B34" s="4" t="s">
        <v>317</v>
      </c>
      <c r="C34" s="4">
        <v>8</v>
      </c>
      <c r="D34" s="4">
        <v>5</v>
      </c>
      <c r="E34" s="4">
        <v>4</v>
      </c>
      <c r="F34" s="5">
        <f t="shared" si="0"/>
        <v>17</v>
      </c>
    </row>
    <row r="35" spans="1:6" x14ac:dyDescent="0.2">
      <c r="A35" s="40"/>
      <c r="B35" s="4" t="s">
        <v>318</v>
      </c>
      <c r="C35" s="4">
        <v>35</v>
      </c>
      <c r="D35" s="4">
        <v>25</v>
      </c>
      <c r="E35" s="4">
        <v>13</v>
      </c>
      <c r="F35" s="5">
        <f t="shared" si="0"/>
        <v>73</v>
      </c>
    </row>
    <row r="36" spans="1:6" x14ac:dyDescent="0.2">
      <c r="A36" s="40"/>
      <c r="B36" s="4" t="s">
        <v>319</v>
      </c>
      <c r="C36" s="4">
        <v>14</v>
      </c>
      <c r="D36" s="4">
        <v>13</v>
      </c>
      <c r="E36" s="4">
        <v>2</v>
      </c>
      <c r="F36" s="5">
        <f t="shared" si="0"/>
        <v>29</v>
      </c>
    </row>
    <row r="37" spans="1:6" x14ac:dyDescent="0.2">
      <c r="A37" s="40"/>
      <c r="B37" s="4" t="s">
        <v>320</v>
      </c>
      <c r="C37" s="4">
        <v>11</v>
      </c>
      <c r="D37" s="4">
        <v>5</v>
      </c>
      <c r="E37" s="4">
        <v>0</v>
      </c>
      <c r="F37" s="5">
        <f t="shared" si="0"/>
        <v>16</v>
      </c>
    </row>
    <row r="38" spans="1:6" x14ac:dyDescent="0.2">
      <c r="A38" s="40"/>
      <c r="B38" s="4" t="s">
        <v>321</v>
      </c>
      <c r="C38" s="4">
        <v>10</v>
      </c>
      <c r="D38" s="4">
        <v>1</v>
      </c>
      <c r="E38" s="4">
        <v>0</v>
      </c>
      <c r="F38" s="5">
        <f t="shared" si="0"/>
        <v>11</v>
      </c>
    </row>
    <row r="39" spans="1:6" x14ac:dyDescent="0.2">
      <c r="A39" s="40"/>
      <c r="B39" s="4" t="s">
        <v>322</v>
      </c>
      <c r="C39" s="4">
        <v>2</v>
      </c>
      <c r="D39" s="4">
        <v>0</v>
      </c>
      <c r="E39" s="4">
        <v>0</v>
      </c>
      <c r="F39" s="5">
        <f t="shared" si="0"/>
        <v>2</v>
      </c>
    </row>
    <row r="40" spans="1:6" x14ac:dyDescent="0.2">
      <c r="A40" s="40"/>
      <c r="B40" s="4" t="s">
        <v>323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1"/>
      <c r="B41" s="8" t="s">
        <v>39</v>
      </c>
      <c r="C41" s="8">
        <f>SUM(C33:C40)</f>
        <v>96</v>
      </c>
      <c r="D41" s="8">
        <f>SUM(D33:D40)</f>
        <v>52</v>
      </c>
      <c r="E41" s="8">
        <f>SUM(E33:E40)</f>
        <v>44</v>
      </c>
      <c r="F41" s="9">
        <f t="shared" si="0"/>
        <v>192</v>
      </c>
    </row>
    <row r="42" spans="1:6" ht="12.75" thickBot="1" x14ac:dyDescent="0.25">
      <c r="A42" s="10" t="s">
        <v>39</v>
      </c>
      <c r="B42" s="11"/>
      <c r="C42" s="11">
        <f>C14+C23+C32+C41</f>
        <v>119955</v>
      </c>
      <c r="D42" s="11">
        <f>D14+D23+D32+D41</f>
        <v>30646</v>
      </c>
      <c r="E42" s="11">
        <f>E14+E23+E32+E41</f>
        <v>859</v>
      </c>
      <c r="F42" s="12">
        <f t="shared" si="0"/>
        <v>151460</v>
      </c>
    </row>
    <row r="43" spans="1:6" x14ac:dyDescent="0.2">
      <c r="A43" s="18"/>
      <c r="B43" s="19"/>
      <c r="C43" s="19"/>
      <c r="D43" s="19"/>
      <c r="E43" s="19"/>
      <c r="F43" s="19"/>
    </row>
    <row r="45" spans="1:6" ht="25.5" customHeight="1" x14ac:dyDescent="0.2">
      <c r="A45" s="35" t="s">
        <v>290</v>
      </c>
      <c r="B45" s="35"/>
      <c r="C45" s="35"/>
      <c r="D45" s="35"/>
      <c r="E45" s="35"/>
      <c r="F45" s="35"/>
    </row>
    <row r="46" spans="1:6" ht="12.75" customHeight="1" x14ac:dyDescent="0.2">
      <c r="A46" s="13">
        <v>43882</v>
      </c>
    </row>
    <row r="47" spans="1:6" ht="12.75" customHeight="1" x14ac:dyDescent="0.2">
      <c r="A47" s="36" t="s">
        <v>291</v>
      </c>
      <c r="B47" s="36"/>
      <c r="C47" s="36"/>
    </row>
    <row r="49" spans="1:7" x14ac:dyDescent="0.2">
      <c r="D49" s="37" t="s">
        <v>45</v>
      </c>
      <c r="E49" s="37"/>
      <c r="F49" s="37"/>
    </row>
    <row r="50" spans="1:7" x14ac:dyDescent="0.2">
      <c r="D50" s="37" t="s">
        <v>46</v>
      </c>
      <c r="E50" s="37"/>
      <c r="F50" s="37"/>
      <c r="G50" s="34"/>
    </row>
    <row r="51" spans="1:7" x14ac:dyDescent="0.2">
      <c r="F51" s="34"/>
      <c r="G51" s="34"/>
    </row>
    <row r="55" spans="1:7" x14ac:dyDescent="0.2">
      <c r="A55" s="15"/>
    </row>
  </sheetData>
  <mergeCells count="16">
    <mergeCell ref="D49:F49"/>
    <mergeCell ref="D50:F50"/>
    <mergeCell ref="A6:A14"/>
    <mergeCell ref="A15:A23"/>
    <mergeCell ref="A24:A32"/>
    <mergeCell ref="A33:A41"/>
    <mergeCell ref="A45:F45"/>
    <mergeCell ref="A47:C47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13" zoomScaleNormal="100" zoomScaleSheetLayoutView="100" workbookViewId="0">
      <selection activeCell="D47" sqref="D47"/>
    </sheetView>
  </sheetViews>
  <sheetFormatPr defaultRowHeight="12" x14ac:dyDescent="0.2"/>
  <cols>
    <col min="1" max="1" width="11.140625" style="1" customWidth="1"/>
    <col min="2" max="2" width="14.7109375" style="1" customWidth="1"/>
    <col min="3" max="3" width="12.5703125" style="1" customWidth="1"/>
    <col min="4" max="4" width="14.7109375" style="1" customWidth="1"/>
    <col min="5" max="5" width="12.5703125" style="1" customWidth="1"/>
    <col min="6" max="6" width="14.140625" style="1" customWidth="1"/>
    <col min="7" max="7" width="12.140625" style="1" customWidth="1"/>
    <col min="8" max="8" width="15.140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6" t="s">
        <v>325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 thickBot="1" x14ac:dyDescent="0.25"/>
    <row r="3" spans="1:10" ht="12" customHeight="1" x14ac:dyDescent="0.2">
      <c r="A3" s="42"/>
      <c r="B3" s="58" t="s">
        <v>49</v>
      </c>
      <c r="C3" s="58" t="s">
        <v>50</v>
      </c>
      <c r="D3" s="58" t="s">
        <v>51</v>
      </c>
      <c r="E3" s="58" t="s">
        <v>50</v>
      </c>
      <c r="F3" s="58" t="s">
        <v>52</v>
      </c>
      <c r="G3" s="58" t="s">
        <v>50</v>
      </c>
      <c r="H3" s="58" t="s">
        <v>53</v>
      </c>
      <c r="I3" s="58" t="s">
        <v>50</v>
      </c>
      <c r="J3" s="65" t="s">
        <v>39</v>
      </c>
    </row>
    <row r="4" spans="1:10" x14ac:dyDescent="0.2">
      <c r="A4" s="43"/>
      <c r="B4" s="59"/>
      <c r="C4" s="59"/>
      <c r="D4" s="59"/>
      <c r="E4" s="59"/>
      <c r="F4" s="59"/>
      <c r="G4" s="59"/>
      <c r="H4" s="59"/>
      <c r="I4" s="59"/>
      <c r="J4" s="66"/>
    </row>
    <row r="5" spans="1:10" ht="12.75" thickBot="1" x14ac:dyDescent="0.25">
      <c r="A5" s="44"/>
      <c r="B5" s="60"/>
      <c r="C5" s="60"/>
      <c r="D5" s="60"/>
      <c r="E5" s="60"/>
      <c r="F5" s="60"/>
      <c r="G5" s="60"/>
      <c r="H5" s="60"/>
      <c r="I5" s="60"/>
      <c r="J5" s="67"/>
    </row>
    <row r="6" spans="1:10" ht="12" customHeight="1" x14ac:dyDescent="0.2">
      <c r="A6" s="39" t="s">
        <v>41</v>
      </c>
      <c r="B6" s="21" t="s">
        <v>326</v>
      </c>
      <c r="C6" s="2">
        <v>4</v>
      </c>
      <c r="D6" s="2" t="s">
        <v>327</v>
      </c>
      <c r="E6" s="2">
        <v>239</v>
      </c>
      <c r="F6" s="2" t="s">
        <v>328</v>
      </c>
      <c r="G6" s="2">
        <v>42</v>
      </c>
      <c r="H6" s="2" t="s">
        <v>292</v>
      </c>
      <c r="I6" s="2">
        <v>28</v>
      </c>
      <c r="J6" s="64"/>
    </row>
    <row r="7" spans="1:10" x14ac:dyDescent="0.2">
      <c r="A7" s="40"/>
      <c r="B7" s="22" t="s">
        <v>329</v>
      </c>
      <c r="C7" s="4">
        <v>3</v>
      </c>
      <c r="D7" s="4" t="s">
        <v>330</v>
      </c>
      <c r="E7" s="4">
        <v>320</v>
      </c>
      <c r="F7" s="4" t="s">
        <v>331</v>
      </c>
      <c r="G7" s="4">
        <v>88</v>
      </c>
      <c r="H7" s="4" t="s">
        <v>293</v>
      </c>
      <c r="I7" s="4">
        <v>123</v>
      </c>
      <c r="J7" s="54"/>
    </row>
    <row r="8" spans="1:10" x14ac:dyDescent="0.2">
      <c r="A8" s="40"/>
      <c r="B8" s="22" t="s">
        <v>332</v>
      </c>
      <c r="C8" s="4">
        <v>5</v>
      </c>
      <c r="D8" s="4" t="s">
        <v>333</v>
      </c>
      <c r="E8" s="4">
        <v>538</v>
      </c>
      <c r="F8" s="4" t="s">
        <v>334</v>
      </c>
      <c r="G8" s="4">
        <v>134</v>
      </c>
      <c r="H8" s="4" t="s">
        <v>294</v>
      </c>
      <c r="I8" s="4">
        <v>127</v>
      </c>
      <c r="J8" s="54"/>
    </row>
    <row r="9" spans="1:10" x14ac:dyDescent="0.2">
      <c r="A9" s="40"/>
      <c r="B9" s="22" t="s">
        <v>335</v>
      </c>
      <c r="C9" s="4">
        <v>2</v>
      </c>
      <c r="D9" s="4" t="s">
        <v>336</v>
      </c>
      <c r="E9" s="4">
        <v>278</v>
      </c>
      <c r="F9" s="4" t="s">
        <v>337</v>
      </c>
      <c r="G9" s="4">
        <v>68</v>
      </c>
      <c r="H9" s="4" t="s">
        <v>295</v>
      </c>
      <c r="I9" s="4">
        <v>70</v>
      </c>
      <c r="J9" s="54"/>
    </row>
    <row r="10" spans="1:10" x14ac:dyDescent="0.2">
      <c r="A10" s="40"/>
      <c r="B10" s="22" t="s">
        <v>338</v>
      </c>
      <c r="C10" s="4">
        <v>5</v>
      </c>
      <c r="D10" s="4" t="s">
        <v>339</v>
      </c>
      <c r="E10" s="4">
        <v>145</v>
      </c>
      <c r="F10" s="4" t="s">
        <v>340</v>
      </c>
      <c r="G10" s="4">
        <v>38</v>
      </c>
      <c r="H10" s="4" t="s">
        <v>296</v>
      </c>
      <c r="I10" s="4">
        <v>39</v>
      </c>
      <c r="J10" s="54"/>
    </row>
    <row r="11" spans="1:10" x14ac:dyDescent="0.2">
      <c r="A11" s="40"/>
      <c r="B11" s="22" t="s">
        <v>341</v>
      </c>
      <c r="C11" s="4">
        <v>1</v>
      </c>
      <c r="D11" s="4" t="s">
        <v>342</v>
      </c>
      <c r="E11" s="4">
        <v>88</v>
      </c>
      <c r="F11" s="4" t="s">
        <v>343</v>
      </c>
      <c r="G11" s="4">
        <v>22</v>
      </c>
      <c r="H11" s="4" t="s">
        <v>297</v>
      </c>
      <c r="I11" s="4">
        <v>19</v>
      </c>
      <c r="J11" s="54"/>
    </row>
    <row r="12" spans="1:10" x14ac:dyDescent="0.2">
      <c r="A12" s="40"/>
      <c r="B12" s="22" t="s">
        <v>344</v>
      </c>
      <c r="C12" s="4">
        <v>0</v>
      </c>
      <c r="D12" s="4" t="s">
        <v>345</v>
      </c>
      <c r="E12" s="4">
        <v>52</v>
      </c>
      <c r="F12" s="4" t="s">
        <v>346</v>
      </c>
      <c r="G12" s="4">
        <v>9</v>
      </c>
      <c r="H12" s="4" t="s">
        <v>298</v>
      </c>
      <c r="I12" s="4">
        <v>11</v>
      </c>
      <c r="J12" s="54"/>
    </row>
    <row r="13" spans="1:10" x14ac:dyDescent="0.2">
      <c r="A13" s="40"/>
      <c r="B13" s="22" t="s">
        <v>347</v>
      </c>
      <c r="C13" s="4">
        <v>2</v>
      </c>
      <c r="D13" s="4" t="s">
        <v>348</v>
      </c>
      <c r="E13" s="4">
        <v>64</v>
      </c>
      <c r="F13" s="4" t="s">
        <v>349</v>
      </c>
      <c r="G13" s="4">
        <v>15</v>
      </c>
      <c r="H13" s="4" t="s">
        <v>299</v>
      </c>
      <c r="I13" s="4">
        <v>20</v>
      </c>
      <c r="J13" s="54"/>
    </row>
    <row r="14" spans="1:10" ht="12.75" thickBot="1" x14ac:dyDescent="0.25">
      <c r="A14" s="40"/>
      <c r="B14" s="23" t="s">
        <v>39</v>
      </c>
      <c r="C14" s="6">
        <f>SUM(C6:C13)</f>
        <v>22</v>
      </c>
      <c r="D14" s="6"/>
      <c r="E14" s="6">
        <f>SUM(E6:E13)</f>
        <v>1724</v>
      </c>
      <c r="F14" s="6"/>
      <c r="G14" s="6">
        <f>SUM(G6:G13)</f>
        <v>416</v>
      </c>
      <c r="H14" s="6"/>
      <c r="I14" s="6">
        <f>SUM(I6:I13)</f>
        <v>437</v>
      </c>
      <c r="J14" s="7">
        <f>C14+E14+G14+I14</f>
        <v>2599</v>
      </c>
    </row>
    <row r="15" spans="1:10" ht="12" customHeight="1" x14ac:dyDescent="0.2">
      <c r="A15" s="39" t="s">
        <v>42</v>
      </c>
      <c r="B15" s="22" t="s">
        <v>350</v>
      </c>
      <c r="C15" s="4">
        <v>0</v>
      </c>
      <c r="D15" s="4" t="s">
        <v>351</v>
      </c>
      <c r="E15" s="4">
        <v>114</v>
      </c>
      <c r="F15" s="4" t="s">
        <v>352</v>
      </c>
      <c r="G15" s="4">
        <v>33</v>
      </c>
      <c r="H15" s="4" t="s">
        <v>300</v>
      </c>
      <c r="I15" s="4">
        <v>27</v>
      </c>
      <c r="J15" s="54"/>
    </row>
    <row r="16" spans="1:10" x14ac:dyDescent="0.2">
      <c r="A16" s="40"/>
      <c r="B16" s="22" t="s">
        <v>353</v>
      </c>
      <c r="C16" s="4">
        <v>0</v>
      </c>
      <c r="D16" s="4" t="s">
        <v>293</v>
      </c>
      <c r="E16" s="4">
        <v>91</v>
      </c>
      <c r="F16" s="4" t="s">
        <v>354</v>
      </c>
      <c r="G16" s="4">
        <v>30</v>
      </c>
      <c r="H16" s="4" t="s">
        <v>301</v>
      </c>
      <c r="I16" s="4">
        <v>22</v>
      </c>
      <c r="J16" s="54"/>
    </row>
    <row r="17" spans="1:10" x14ac:dyDescent="0.2">
      <c r="A17" s="40"/>
      <c r="B17" s="22" t="s">
        <v>355</v>
      </c>
      <c r="C17" s="4">
        <v>1</v>
      </c>
      <c r="D17" s="4" t="s">
        <v>294</v>
      </c>
      <c r="E17" s="4">
        <v>314</v>
      </c>
      <c r="F17" s="4" t="s">
        <v>356</v>
      </c>
      <c r="G17" s="4">
        <v>57</v>
      </c>
      <c r="H17" s="4" t="s">
        <v>302</v>
      </c>
      <c r="I17" s="4">
        <v>53</v>
      </c>
      <c r="J17" s="54"/>
    </row>
    <row r="18" spans="1:10" x14ac:dyDescent="0.2">
      <c r="A18" s="40"/>
      <c r="B18" s="22" t="s">
        <v>357</v>
      </c>
      <c r="C18" s="4">
        <v>6</v>
      </c>
      <c r="D18" s="4" t="s">
        <v>295</v>
      </c>
      <c r="E18" s="4">
        <v>206</v>
      </c>
      <c r="F18" s="4" t="s">
        <v>358</v>
      </c>
      <c r="G18" s="4">
        <v>39</v>
      </c>
      <c r="H18" s="4" t="s">
        <v>303</v>
      </c>
      <c r="I18" s="4">
        <v>49</v>
      </c>
      <c r="J18" s="54"/>
    </row>
    <row r="19" spans="1:10" x14ac:dyDescent="0.2">
      <c r="A19" s="40"/>
      <c r="B19" s="22" t="s">
        <v>359</v>
      </c>
      <c r="C19" s="4">
        <v>2</v>
      </c>
      <c r="D19" s="4" t="s">
        <v>296</v>
      </c>
      <c r="E19" s="4">
        <v>107</v>
      </c>
      <c r="F19" s="4" t="s">
        <v>360</v>
      </c>
      <c r="G19" s="4">
        <v>20</v>
      </c>
      <c r="H19" s="4" t="s">
        <v>304</v>
      </c>
      <c r="I19" s="4">
        <v>17</v>
      </c>
      <c r="J19" s="54"/>
    </row>
    <row r="20" spans="1:10" x14ac:dyDescent="0.2">
      <c r="A20" s="40"/>
      <c r="B20" s="22" t="s">
        <v>361</v>
      </c>
      <c r="C20" s="4">
        <v>0</v>
      </c>
      <c r="D20" s="4" t="s">
        <v>297</v>
      </c>
      <c r="E20" s="4">
        <v>29</v>
      </c>
      <c r="F20" s="4" t="s">
        <v>362</v>
      </c>
      <c r="G20" s="4">
        <v>12</v>
      </c>
      <c r="H20" s="4" t="s">
        <v>305</v>
      </c>
      <c r="I20" s="4">
        <v>10</v>
      </c>
      <c r="J20" s="54"/>
    </row>
    <row r="21" spans="1:10" x14ac:dyDescent="0.2">
      <c r="A21" s="40"/>
      <c r="B21" s="22" t="s">
        <v>363</v>
      </c>
      <c r="C21" s="4">
        <v>0</v>
      </c>
      <c r="D21" s="4" t="s">
        <v>298</v>
      </c>
      <c r="E21" s="4">
        <v>17</v>
      </c>
      <c r="F21" s="4" t="s">
        <v>364</v>
      </c>
      <c r="G21" s="4">
        <v>2</v>
      </c>
      <c r="H21" s="4" t="s">
        <v>306</v>
      </c>
      <c r="I21" s="4">
        <v>1</v>
      </c>
      <c r="J21" s="54"/>
    </row>
    <row r="22" spans="1:10" x14ac:dyDescent="0.2">
      <c r="A22" s="40"/>
      <c r="B22" s="22" t="s">
        <v>365</v>
      </c>
      <c r="C22" s="4">
        <v>0</v>
      </c>
      <c r="D22" s="4" t="s">
        <v>299</v>
      </c>
      <c r="E22" s="4">
        <v>16</v>
      </c>
      <c r="F22" s="4" t="s">
        <v>366</v>
      </c>
      <c r="G22" s="4">
        <v>4</v>
      </c>
      <c r="H22" s="4" t="s">
        <v>307</v>
      </c>
      <c r="I22" s="4">
        <v>1</v>
      </c>
      <c r="J22" s="54"/>
    </row>
    <row r="23" spans="1:10" ht="12.75" thickBot="1" x14ac:dyDescent="0.25">
      <c r="A23" s="40"/>
      <c r="B23" s="23" t="s">
        <v>39</v>
      </c>
      <c r="C23" s="6">
        <f>SUM(C15:C22)</f>
        <v>9</v>
      </c>
      <c r="D23" s="6"/>
      <c r="E23" s="6">
        <f>SUM(E15:E22)</f>
        <v>894</v>
      </c>
      <c r="F23" s="6"/>
      <c r="G23" s="6">
        <f>SUM(G15:G22)</f>
        <v>197</v>
      </c>
      <c r="H23" s="6"/>
      <c r="I23" s="6">
        <f>SUM(I15:I22)</f>
        <v>180</v>
      </c>
      <c r="J23" s="7">
        <f>C23+E23+G23+I23</f>
        <v>1280</v>
      </c>
    </row>
    <row r="24" spans="1:10" ht="12" customHeight="1" x14ac:dyDescent="0.2">
      <c r="A24" s="39" t="s">
        <v>43</v>
      </c>
      <c r="B24" s="22" t="s">
        <v>367</v>
      </c>
      <c r="C24" s="4">
        <v>0</v>
      </c>
      <c r="D24" s="4" t="s">
        <v>368</v>
      </c>
      <c r="E24" s="4">
        <v>53</v>
      </c>
      <c r="F24" s="4" t="s">
        <v>369</v>
      </c>
      <c r="G24" s="4">
        <v>3</v>
      </c>
      <c r="H24" s="4" t="s">
        <v>308</v>
      </c>
      <c r="I24" s="4">
        <v>5</v>
      </c>
      <c r="J24" s="54"/>
    </row>
    <row r="25" spans="1:10" x14ac:dyDescent="0.2">
      <c r="A25" s="40"/>
      <c r="B25" s="22" t="s">
        <v>370</v>
      </c>
      <c r="C25" s="4">
        <v>0</v>
      </c>
      <c r="D25" s="4" t="s">
        <v>371</v>
      </c>
      <c r="E25" s="4">
        <v>34</v>
      </c>
      <c r="F25" s="4" t="s">
        <v>372</v>
      </c>
      <c r="G25" s="4">
        <v>7</v>
      </c>
      <c r="H25" s="4" t="s">
        <v>309</v>
      </c>
      <c r="I25" s="4">
        <v>3</v>
      </c>
      <c r="J25" s="54"/>
    </row>
    <row r="26" spans="1:10" x14ac:dyDescent="0.2">
      <c r="A26" s="40"/>
      <c r="B26" s="22" t="s">
        <v>373</v>
      </c>
      <c r="C26" s="4">
        <v>0</v>
      </c>
      <c r="D26" s="4" t="s">
        <v>374</v>
      </c>
      <c r="E26" s="4">
        <v>142</v>
      </c>
      <c r="F26" s="4" t="s">
        <v>375</v>
      </c>
      <c r="G26" s="4">
        <v>23</v>
      </c>
      <c r="H26" s="4" t="s">
        <v>310</v>
      </c>
      <c r="I26" s="4">
        <v>24</v>
      </c>
      <c r="J26" s="54"/>
    </row>
    <row r="27" spans="1:10" x14ac:dyDescent="0.2">
      <c r="A27" s="40"/>
      <c r="B27" s="22" t="s">
        <v>376</v>
      </c>
      <c r="C27" s="4">
        <v>1</v>
      </c>
      <c r="D27" s="4" t="s">
        <v>377</v>
      </c>
      <c r="E27" s="4">
        <v>72</v>
      </c>
      <c r="F27" s="4" t="s">
        <v>378</v>
      </c>
      <c r="G27" s="4">
        <v>23</v>
      </c>
      <c r="H27" s="4" t="s">
        <v>311</v>
      </c>
      <c r="I27" s="4">
        <v>5</v>
      </c>
      <c r="J27" s="54"/>
    </row>
    <row r="28" spans="1:10" x14ac:dyDescent="0.2">
      <c r="A28" s="40"/>
      <c r="B28" s="22" t="s">
        <v>379</v>
      </c>
      <c r="C28" s="4">
        <v>1</v>
      </c>
      <c r="D28" s="4" t="s">
        <v>380</v>
      </c>
      <c r="E28" s="4">
        <v>28</v>
      </c>
      <c r="F28" s="4" t="s">
        <v>381</v>
      </c>
      <c r="G28" s="4">
        <v>6</v>
      </c>
      <c r="H28" s="4" t="s">
        <v>312</v>
      </c>
      <c r="I28" s="4">
        <v>8</v>
      </c>
      <c r="J28" s="54"/>
    </row>
    <row r="29" spans="1:10" x14ac:dyDescent="0.2">
      <c r="A29" s="40"/>
      <c r="B29" s="22" t="s">
        <v>382</v>
      </c>
      <c r="C29" s="4">
        <v>0</v>
      </c>
      <c r="D29" s="4" t="s">
        <v>383</v>
      </c>
      <c r="E29" s="4">
        <v>12</v>
      </c>
      <c r="F29" s="4" t="s">
        <v>384</v>
      </c>
      <c r="G29" s="4">
        <v>0</v>
      </c>
      <c r="H29" s="4" t="s">
        <v>313</v>
      </c>
      <c r="I29" s="4">
        <v>1</v>
      </c>
      <c r="J29" s="54"/>
    </row>
    <row r="30" spans="1:10" x14ac:dyDescent="0.2">
      <c r="A30" s="40"/>
      <c r="B30" s="22" t="s">
        <v>385</v>
      </c>
      <c r="C30" s="4">
        <v>0</v>
      </c>
      <c r="D30" s="4" t="s">
        <v>386</v>
      </c>
      <c r="E30" s="4">
        <v>5</v>
      </c>
      <c r="F30" s="4" t="s">
        <v>387</v>
      </c>
      <c r="G30" s="4">
        <v>1</v>
      </c>
      <c r="H30" s="4" t="s">
        <v>314</v>
      </c>
      <c r="I30" s="4">
        <v>2</v>
      </c>
      <c r="J30" s="54"/>
    </row>
    <row r="31" spans="1:10" x14ac:dyDescent="0.2">
      <c r="A31" s="40"/>
      <c r="B31" s="22" t="s">
        <v>388</v>
      </c>
      <c r="C31" s="4">
        <v>0</v>
      </c>
      <c r="D31" s="4" t="s">
        <v>389</v>
      </c>
      <c r="E31" s="4">
        <v>2</v>
      </c>
      <c r="F31" s="4" t="s">
        <v>390</v>
      </c>
      <c r="G31" s="4">
        <v>0</v>
      </c>
      <c r="H31" s="4" t="s">
        <v>315</v>
      </c>
      <c r="I31" s="4">
        <v>0</v>
      </c>
      <c r="J31" s="54"/>
    </row>
    <row r="32" spans="1:10" ht="12.75" thickBot="1" x14ac:dyDescent="0.25">
      <c r="A32" s="40"/>
      <c r="B32" s="23" t="s">
        <v>39</v>
      </c>
      <c r="C32" s="6">
        <f>SUM(C24:C31)</f>
        <v>2</v>
      </c>
      <c r="D32" s="6"/>
      <c r="E32" s="6">
        <f>SUM(E24:E31)</f>
        <v>348</v>
      </c>
      <c r="F32" s="6"/>
      <c r="G32" s="6">
        <f>SUM(G24:G31)</f>
        <v>63</v>
      </c>
      <c r="H32" s="6"/>
      <c r="I32" s="6">
        <f>SUM(I24:I31)</f>
        <v>48</v>
      </c>
      <c r="J32" s="7">
        <f>C32+E32+G32+I32</f>
        <v>461</v>
      </c>
    </row>
    <row r="33" spans="1:10" ht="12" customHeight="1" x14ac:dyDescent="0.2">
      <c r="A33" s="39" t="s">
        <v>44</v>
      </c>
      <c r="B33" s="22" t="s">
        <v>351</v>
      </c>
      <c r="C33" s="4">
        <v>0</v>
      </c>
      <c r="D33" s="4" t="s">
        <v>391</v>
      </c>
      <c r="E33" s="4">
        <v>6</v>
      </c>
      <c r="F33" s="4" t="s">
        <v>392</v>
      </c>
      <c r="G33" s="4">
        <v>1</v>
      </c>
      <c r="H33" s="4" t="s">
        <v>316</v>
      </c>
      <c r="I33" s="4">
        <v>28</v>
      </c>
      <c r="J33" s="54"/>
    </row>
    <row r="34" spans="1:10" x14ac:dyDescent="0.2">
      <c r="A34" s="40"/>
      <c r="B34" s="22" t="s">
        <v>293</v>
      </c>
      <c r="C34" s="4">
        <v>0</v>
      </c>
      <c r="D34" s="4" t="s">
        <v>393</v>
      </c>
      <c r="E34" s="4">
        <v>13</v>
      </c>
      <c r="F34" s="4" t="s">
        <v>394</v>
      </c>
      <c r="G34" s="4">
        <v>4</v>
      </c>
      <c r="H34" s="4" t="s">
        <v>317</v>
      </c>
      <c r="I34" s="4">
        <v>123</v>
      </c>
      <c r="J34" s="54"/>
    </row>
    <row r="35" spans="1:10" x14ac:dyDescent="0.2">
      <c r="A35" s="40"/>
      <c r="B35" s="22" t="s">
        <v>294</v>
      </c>
      <c r="C35" s="4">
        <v>1</v>
      </c>
      <c r="D35" s="4" t="s">
        <v>395</v>
      </c>
      <c r="E35" s="4">
        <v>57</v>
      </c>
      <c r="F35" s="4" t="s">
        <v>396</v>
      </c>
      <c r="G35" s="4">
        <v>13</v>
      </c>
      <c r="H35" s="4" t="s">
        <v>318</v>
      </c>
      <c r="I35" s="4">
        <v>127</v>
      </c>
      <c r="J35" s="54"/>
    </row>
    <row r="36" spans="1:10" x14ac:dyDescent="0.2">
      <c r="A36" s="40"/>
      <c r="B36" s="22" t="s">
        <v>295</v>
      </c>
      <c r="C36" s="4">
        <v>0</v>
      </c>
      <c r="D36" s="4" t="s">
        <v>397</v>
      </c>
      <c r="E36" s="4">
        <v>22</v>
      </c>
      <c r="F36" s="4" t="s">
        <v>398</v>
      </c>
      <c r="G36" s="4">
        <v>4</v>
      </c>
      <c r="H36" s="4" t="s">
        <v>319</v>
      </c>
      <c r="I36" s="4">
        <v>70</v>
      </c>
      <c r="J36" s="54"/>
    </row>
    <row r="37" spans="1:10" x14ac:dyDescent="0.2">
      <c r="A37" s="40"/>
      <c r="B37" s="22" t="s">
        <v>296</v>
      </c>
      <c r="C37" s="4">
        <v>0</v>
      </c>
      <c r="D37" s="4" t="s">
        <v>399</v>
      </c>
      <c r="E37" s="4">
        <v>8</v>
      </c>
      <c r="F37" s="4" t="s">
        <v>400</v>
      </c>
      <c r="G37" s="4">
        <v>2</v>
      </c>
      <c r="H37" s="4" t="s">
        <v>320</v>
      </c>
      <c r="I37" s="4">
        <v>39</v>
      </c>
      <c r="J37" s="54"/>
    </row>
    <row r="38" spans="1:10" x14ac:dyDescent="0.2">
      <c r="A38" s="40"/>
      <c r="B38" s="22" t="s">
        <v>297</v>
      </c>
      <c r="C38" s="4">
        <v>0</v>
      </c>
      <c r="D38" s="4" t="s">
        <v>401</v>
      </c>
      <c r="E38" s="4">
        <v>1</v>
      </c>
      <c r="F38" s="4" t="s">
        <v>402</v>
      </c>
      <c r="G38" s="4">
        <v>0</v>
      </c>
      <c r="H38" s="4" t="s">
        <v>321</v>
      </c>
      <c r="I38" s="4">
        <v>19</v>
      </c>
      <c r="J38" s="54"/>
    </row>
    <row r="39" spans="1:10" x14ac:dyDescent="0.2">
      <c r="A39" s="40"/>
      <c r="B39" s="22" t="s">
        <v>298</v>
      </c>
      <c r="C39" s="4">
        <v>0</v>
      </c>
      <c r="D39" s="4" t="s">
        <v>403</v>
      </c>
      <c r="E39" s="4">
        <v>4</v>
      </c>
      <c r="F39" s="4" t="s">
        <v>404</v>
      </c>
      <c r="G39" s="4">
        <v>0</v>
      </c>
      <c r="H39" s="4" t="s">
        <v>322</v>
      </c>
      <c r="I39" s="4">
        <v>11</v>
      </c>
      <c r="J39" s="54"/>
    </row>
    <row r="40" spans="1:10" x14ac:dyDescent="0.2">
      <c r="A40" s="40"/>
      <c r="B40" s="22" t="s">
        <v>299</v>
      </c>
      <c r="C40" s="4">
        <v>0</v>
      </c>
      <c r="D40" s="4" t="s">
        <v>405</v>
      </c>
      <c r="E40" s="4">
        <v>0</v>
      </c>
      <c r="F40" s="4" t="s">
        <v>406</v>
      </c>
      <c r="G40" s="4">
        <v>0</v>
      </c>
      <c r="H40" s="4" t="s">
        <v>323</v>
      </c>
      <c r="I40" s="4">
        <v>20</v>
      </c>
      <c r="J40" s="54"/>
    </row>
    <row r="41" spans="1:10" ht="12.75" thickBot="1" x14ac:dyDescent="0.25">
      <c r="A41" s="40"/>
      <c r="B41" s="24" t="s">
        <v>39</v>
      </c>
      <c r="C41" s="8">
        <f>SUM(C33:C40)</f>
        <v>1</v>
      </c>
      <c r="D41" s="8"/>
      <c r="E41" s="8">
        <f>SUM(E33:E40)</f>
        <v>111</v>
      </c>
      <c r="F41" s="8"/>
      <c r="G41" s="8">
        <f>SUM(G33:G40)</f>
        <v>24</v>
      </c>
      <c r="H41" s="8"/>
      <c r="I41" s="8">
        <f>SUM(I33:I40)</f>
        <v>437</v>
      </c>
      <c r="J41" s="9">
        <f>C41+E41+G41+I41</f>
        <v>573</v>
      </c>
    </row>
    <row r="42" spans="1:10" ht="12.75" thickBot="1" x14ac:dyDescent="0.25">
      <c r="A42" s="25" t="s">
        <v>39</v>
      </c>
      <c r="B42" s="26"/>
      <c r="C42" s="27">
        <f>C14+C23+C32+C41</f>
        <v>34</v>
      </c>
      <c r="D42" s="27"/>
      <c r="E42" s="27">
        <f>E14+E23+E32+E41</f>
        <v>3077</v>
      </c>
      <c r="F42" s="27"/>
      <c r="G42" s="27">
        <f>G14+G23+G32+G41</f>
        <v>700</v>
      </c>
      <c r="H42" s="27"/>
      <c r="I42" s="27">
        <f>I14+I23+I32+I41</f>
        <v>1102</v>
      </c>
      <c r="J42" s="28">
        <f>C42+E42+G42+I42</f>
        <v>4913</v>
      </c>
    </row>
    <row r="44" spans="1:10" x14ac:dyDescent="0.2">
      <c r="A44" s="29" t="s">
        <v>324</v>
      </c>
      <c r="B44" s="29"/>
      <c r="C44" s="29"/>
      <c r="D44" s="29"/>
      <c r="E44" s="29"/>
      <c r="F44" s="29"/>
    </row>
    <row r="45" spans="1:10" x14ac:dyDescent="0.2">
      <c r="A45" s="13">
        <v>43882</v>
      </c>
    </row>
    <row r="46" spans="1:10" x14ac:dyDescent="0.2">
      <c r="A46" s="36" t="s">
        <v>291</v>
      </c>
      <c r="B46" s="36"/>
      <c r="C46" s="36"/>
    </row>
    <row r="47" spans="1:10" x14ac:dyDescent="0.2">
      <c r="G47" s="37" t="s">
        <v>45</v>
      </c>
      <c r="H47" s="37"/>
      <c r="I47" s="37"/>
      <c r="J47" s="37"/>
    </row>
    <row r="48" spans="1:10" x14ac:dyDescent="0.2">
      <c r="G48" s="37" t="s">
        <v>46</v>
      </c>
      <c r="H48" s="37"/>
      <c r="I48" s="37"/>
      <c r="J48" s="37"/>
    </row>
    <row r="52" spans="1:1" x14ac:dyDescent="0.2">
      <c r="A52" s="15"/>
    </row>
  </sheetData>
  <mergeCells count="22">
    <mergeCell ref="A33:A41"/>
    <mergeCell ref="J33:J40"/>
    <mergeCell ref="A46:C46"/>
    <mergeCell ref="G47:J47"/>
    <mergeCell ref="G48:J48"/>
    <mergeCell ref="J3:J5"/>
    <mergeCell ref="A6:A14"/>
    <mergeCell ref="J6:J13"/>
    <mergeCell ref="A15:A23"/>
    <mergeCell ref="J15:J22"/>
    <mergeCell ref="A24:A32"/>
    <mergeCell ref="J24:J31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ageMargins left="0.70866141732283472" right="0.70866141732283472" top="0.55118110236220474" bottom="0.55118110236220474" header="0.31496062992125984" footer="0.31496062992125984"/>
  <pageSetup paperSize="9" scale="86" orientation="landscape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activeCell="C15" sqref="C15"/>
    </sheetView>
  </sheetViews>
  <sheetFormatPr defaultColWidth="11.42578125" defaultRowHeight="12" x14ac:dyDescent="0.2"/>
  <cols>
    <col min="1" max="1" width="11.42578125" style="1"/>
    <col min="2" max="2" width="14.7109375" style="1" customWidth="1"/>
    <col min="3" max="3" width="12" style="1" customWidth="1"/>
    <col min="4" max="4" width="14.7109375" style="1" customWidth="1"/>
    <col min="5" max="5" width="12.140625" style="1" customWidth="1"/>
    <col min="6" max="6" width="14.42578125" style="1" customWidth="1"/>
    <col min="7" max="7" width="12.140625" style="1" customWidth="1"/>
    <col min="8" max="8" width="15.140625" style="1" customWidth="1"/>
    <col min="9" max="9" width="12" style="1" customWidth="1"/>
    <col min="10" max="10" width="6.85546875" style="1" bestFit="1" customWidth="1"/>
    <col min="11" max="16384" width="11.42578125" style="1"/>
  </cols>
  <sheetData>
    <row r="1" spans="1:10" ht="12.75" x14ac:dyDescent="0.2">
      <c r="A1" s="56" t="s">
        <v>148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 thickBot="1" x14ac:dyDescent="0.25"/>
    <row r="3" spans="1:10" ht="12" customHeight="1" x14ac:dyDescent="0.2">
      <c r="A3" s="42"/>
      <c r="B3" s="58" t="s">
        <v>49</v>
      </c>
      <c r="C3" s="58" t="s">
        <v>50</v>
      </c>
      <c r="D3" s="58" t="s">
        <v>51</v>
      </c>
      <c r="E3" s="58" t="s">
        <v>50</v>
      </c>
      <c r="F3" s="58" t="s">
        <v>52</v>
      </c>
      <c r="G3" s="58" t="s">
        <v>50</v>
      </c>
      <c r="H3" s="58" t="s">
        <v>53</v>
      </c>
      <c r="I3" s="58" t="s">
        <v>50</v>
      </c>
      <c r="J3" s="61" t="s">
        <v>39</v>
      </c>
    </row>
    <row r="4" spans="1:10" x14ac:dyDescent="0.2">
      <c r="A4" s="43"/>
      <c r="B4" s="59"/>
      <c r="C4" s="59"/>
      <c r="D4" s="59"/>
      <c r="E4" s="59"/>
      <c r="F4" s="59"/>
      <c r="G4" s="59"/>
      <c r="H4" s="59"/>
      <c r="I4" s="59"/>
      <c r="J4" s="62"/>
    </row>
    <row r="5" spans="1:10" ht="12.75" thickBot="1" x14ac:dyDescent="0.25">
      <c r="A5" s="44"/>
      <c r="B5" s="60"/>
      <c r="C5" s="60"/>
      <c r="D5" s="60"/>
      <c r="E5" s="60"/>
      <c r="F5" s="60"/>
      <c r="G5" s="60"/>
      <c r="H5" s="60"/>
      <c r="I5" s="60"/>
      <c r="J5" s="63"/>
    </row>
    <row r="6" spans="1:10" ht="12" customHeight="1" x14ac:dyDescent="0.2">
      <c r="A6" s="39" t="s">
        <v>41</v>
      </c>
      <c r="B6" s="16" t="s">
        <v>54</v>
      </c>
      <c r="C6" s="16">
        <v>8</v>
      </c>
      <c r="D6" s="16" t="s">
        <v>55</v>
      </c>
      <c r="E6" s="16">
        <v>329</v>
      </c>
      <c r="F6" s="16" t="s">
        <v>56</v>
      </c>
      <c r="G6" s="16">
        <v>74</v>
      </c>
      <c r="H6" s="16" t="s">
        <v>0</v>
      </c>
      <c r="I6" s="16">
        <v>99</v>
      </c>
      <c r="J6" s="55"/>
    </row>
    <row r="7" spans="1:10" x14ac:dyDescent="0.2">
      <c r="A7" s="40"/>
      <c r="B7" s="4" t="s">
        <v>57</v>
      </c>
      <c r="C7" s="4">
        <v>3</v>
      </c>
      <c r="D7" s="4" t="s">
        <v>58</v>
      </c>
      <c r="E7" s="4">
        <v>422</v>
      </c>
      <c r="F7" s="4" t="s">
        <v>59</v>
      </c>
      <c r="G7" s="4">
        <v>97</v>
      </c>
      <c r="H7" s="4" t="s">
        <v>14</v>
      </c>
      <c r="I7" s="4">
        <v>150</v>
      </c>
      <c r="J7" s="54"/>
    </row>
    <row r="8" spans="1:10" x14ac:dyDescent="0.2">
      <c r="A8" s="40"/>
      <c r="B8" s="4" t="s">
        <v>60</v>
      </c>
      <c r="C8" s="4">
        <v>14</v>
      </c>
      <c r="D8" s="4" t="s">
        <v>61</v>
      </c>
      <c r="E8" s="4">
        <v>571</v>
      </c>
      <c r="F8" s="4" t="s">
        <v>62</v>
      </c>
      <c r="G8" s="4">
        <v>136</v>
      </c>
      <c r="H8" s="4" t="s">
        <v>10</v>
      </c>
      <c r="I8" s="4">
        <v>185</v>
      </c>
      <c r="J8" s="54"/>
    </row>
    <row r="9" spans="1:10" x14ac:dyDescent="0.2">
      <c r="A9" s="40"/>
      <c r="B9" s="4" t="s">
        <v>63</v>
      </c>
      <c r="C9" s="4">
        <v>9</v>
      </c>
      <c r="D9" s="4" t="s">
        <v>64</v>
      </c>
      <c r="E9" s="4">
        <v>239</v>
      </c>
      <c r="F9" s="4" t="s">
        <v>65</v>
      </c>
      <c r="G9" s="4">
        <v>62</v>
      </c>
      <c r="H9" s="4" t="s">
        <v>11</v>
      </c>
      <c r="I9" s="4">
        <v>84</v>
      </c>
      <c r="J9" s="54"/>
    </row>
    <row r="10" spans="1:10" x14ac:dyDescent="0.2">
      <c r="A10" s="40"/>
      <c r="B10" s="4" t="s">
        <v>66</v>
      </c>
      <c r="C10" s="4">
        <v>7</v>
      </c>
      <c r="D10" s="4" t="s">
        <v>67</v>
      </c>
      <c r="E10" s="4">
        <v>126</v>
      </c>
      <c r="F10" s="4" t="s">
        <v>68</v>
      </c>
      <c r="G10" s="4">
        <v>24</v>
      </c>
      <c r="H10" s="4" t="s">
        <v>12</v>
      </c>
      <c r="I10" s="4">
        <v>32</v>
      </c>
      <c r="J10" s="54"/>
    </row>
    <row r="11" spans="1:10" x14ac:dyDescent="0.2">
      <c r="A11" s="40"/>
      <c r="B11" s="4" t="s">
        <v>69</v>
      </c>
      <c r="C11" s="4">
        <v>6</v>
      </c>
      <c r="D11" s="4" t="s">
        <v>70</v>
      </c>
      <c r="E11" s="4">
        <v>71</v>
      </c>
      <c r="F11" s="4" t="s">
        <v>71</v>
      </c>
      <c r="G11" s="4">
        <v>13</v>
      </c>
      <c r="H11" s="4" t="s">
        <v>13</v>
      </c>
      <c r="I11" s="4">
        <v>20</v>
      </c>
      <c r="J11" s="54"/>
    </row>
    <row r="12" spans="1:10" x14ac:dyDescent="0.2">
      <c r="A12" s="40"/>
      <c r="B12" s="4" t="s">
        <v>72</v>
      </c>
      <c r="C12" s="4">
        <v>1</v>
      </c>
      <c r="D12" s="4" t="s">
        <v>73</v>
      </c>
      <c r="E12" s="4">
        <v>42</v>
      </c>
      <c r="F12" s="4" t="s">
        <v>74</v>
      </c>
      <c r="G12" s="4">
        <v>2</v>
      </c>
      <c r="H12" s="4" t="s">
        <v>1</v>
      </c>
      <c r="I12" s="4">
        <v>13</v>
      </c>
      <c r="J12" s="54"/>
    </row>
    <row r="13" spans="1:10" x14ac:dyDescent="0.2">
      <c r="A13" s="40"/>
      <c r="B13" s="4" t="s">
        <v>75</v>
      </c>
      <c r="C13" s="4">
        <v>2</v>
      </c>
      <c r="D13" s="4" t="s">
        <v>76</v>
      </c>
      <c r="E13" s="4">
        <v>71</v>
      </c>
      <c r="F13" s="4" t="s">
        <v>77</v>
      </c>
      <c r="G13" s="4">
        <v>27</v>
      </c>
      <c r="H13" s="4" t="s">
        <v>2</v>
      </c>
      <c r="I13" s="4">
        <v>23</v>
      </c>
      <c r="J13" s="54"/>
    </row>
    <row r="14" spans="1:10" ht="12.75" thickBot="1" x14ac:dyDescent="0.25">
      <c r="A14" s="40"/>
      <c r="B14" s="6" t="s">
        <v>39</v>
      </c>
      <c r="C14" s="6">
        <f>SUM(C6:C13)</f>
        <v>50</v>
      </c>
      <c r="D14" s="6"/>
      <c r="E14" s="6">
        <f>SUM(E6:E13)</f>
        <v>1871</v>
      </c>
      <c r="F14" s="6"/>
      <c r="G14" s="6">
        <f>SUM(G6:G13)</f>
        <v>435</v>
      </c>
      <c r="H14" s="6"/>
      <c r="I14" s="6">
        <f>SUM(I6:I13)</f>
        <v>606</v>
      </c>
      <c r="J14" s="7">
        <f>C14+E14+G14+I14</f>
        <v>2962</v>
      </c>
    </row>
    <row r="15" spans="1:10" ht="12" customHeight="1" x14ac:dyDescent="0.2">
      <c r="A15" s="39" t="s">
        <v>42</v>
      </c>
      <c r="B15" s="4" t="s">
        <v>78</v>
      </c>
      <c r="C15" s="4">
        <v>3</v>
      </c>
      <c r="D15" s="4" t="s">
        <v>0</v>
      </c>
      <c r="E15" s="4">
        <v>217</v>
      </c>
      <c r="F15" s="4" t="s">
        <v>79</v>
      </c>
      <c r="G15" s="4">
        <v>42</v>
      </c>
      <c r="H15" s="4" t="s">
        <v>4</v>
      </c>
      <c r="I15" s="4">
        <v>45</v>
      </c>
      <c r="J15" s="54"/>
    </row>
    <row r="16" spans="1:10" x14ac:dyDescent="0.2">
      <c r="A16" s="40"/>
      <c r="B16" s="4" t="s">
        <v>80</v>
      </c>
      <c r="C16" s="4">
        <v>4</v>
      </c>
      <c r="D16" s="4" t="s">
        <v>81</v>
      </c>
      <c r="E16" s="4">
        <v>170</v>
      </c>
      <c r="F16" s="4" t="s">
        <v>82</v>
      </c>
      <c r="G16" s="4">
        <v>37</v>
      </c>
      <c r="H16" s="4" t="s">
        <v>15</v>
      </c>
      <c r="I16" s="4">
        <v>46</v>
      </c>
      <c r="J16" s="54"/>
    </row>
    <row r="17" spans="1:10" x14ac:dyDescent="0.2">
      <c r="A17" s="40"/>
      <c r="B17" s="4" t="s">
        <v>83</v>
      </c>
      <c r="C17" s="4">
        <v>30</v>
      </c>
      <c r="D17" s="4" t="s">
        <v>84</v>
      </c>
      <c r="E17" s="4">
        <v>547</v>
      </c>
      <c r="F17" s="4" t="s">
        <v>85</v>
      </c>
      <c r="G17" s="4">
        <v>101</v>
      </c>
      <c r="H17" s="4" t="s">
        <v>16</v>
      </c>
      <c r="I17" s="4">
        <v>124</v>
      </c>
      <c r="J17" s="54"/>
    </row>
    <row r="18" spans="1:10" x14ac:dyDescent="0.2">
      <c r="A18" s="40"/>
      <c r="B18" s="4" t="s">
        <v>86</v>
      </c>
      <c r="C18" s="4">
        <v>4</v>
      </c>
      <c r="D18" s="4" t="s">
        <v>87</v>
      </c>
      <c r="E18" s="4">
        <v>305</v>
      </c>
      <c r="F18" s="4" t="s">
        <v>88</v>
      </c>
      <c r="G18" s="4">
        <v>52</v>
      </c>
      <c r="H18" s="4" t="s">
        <v>17</v>
      </c>
      <c r="I18" s="4">
        <v>76</v>
      </c>
      <c r="J18" s="54"/>
    </row>
    <row r="19" spans="1:10" x14ac:dyDescent="0.2">
      <c r="A19" s="40"/>
      <c r="B19" s="4" t="s">
        <v>89</v>
      </c>
      <c r="C19" s="4">
        <v>6</v>
      </c>
      <c r="D19" s="4" t="s">
        <v>90</v>
      </c>
      <c r="E19" s="4">
        <v>137</v>
      </c>
      <c r="F19" s="4" t="s">
        <v>91</v>
      </c>
      <c r="G19" s="4">
        <v>30</v>
      </c>
      <c r="H19" s="4" t="s">
        <v>18</v>
      </c>
      <c r="I19" s="4">
        <v>36</v>
      </c>
      <c r="J19" s="54"/>
    </row>
    <row r="20" spans="1:10" x14ac:dyDescent="0.2">
      <c r="A20" s="40"/>
      <c r="B20" s="4" t="s">
        <v>92</v>
      </c>
      <c r="C20" s="4">
        <v>3</v>
      </c>
      <c r="D20" s="4" t="s">
        <v>93</v>
      </c>
      <c r="E20" s="4">
        <v>85</v>
      </c>
      <c r="F20" s="4" t="s">
        <v>94</v>
      </c>
      <c r="G20" s="4">
        <v>4</v>
      </c>
      <c r="H20" s="4" t="s">
        <v>19</v>
      </c>
      <c r="I20" s="4">
        <v>19</v>
      </c>
      <c r="J20" s="54"/>
    </row>
    <row r="21" spans="1:10" x14ac:dyDescent="0.2">
      <c r="A21" s="40"/>
      <c r="B21" s="4" t="s">
        <v>95</v>
      </c>
      <c r="C21" s="4">
        <v>4</v>
      </c>
      <c r="D21" s="4" t="s">
        <v>96</v>
      </c>
      <c r="E21" s="4">
        <v>40</v>
      </c>
      <c r="F21" s="4" t="s">
        <v>97</v>
      </c>
      <c r="G21" s="4">
        <v>12</v>
      </c>
      <c r="H21" s="4" t="s">
        <v>20</v>
      </c>
      <c r="I21" s="4">
        <v>9</v>
      </c>
      <c r="J21" s="54"/>
    </row>
    <row r="22" spans="1:10" x14ac:dyDescent="0.2">
      <c r="A22" s="40"/>
      <c r="B22" s="4" t="s">
        <v>98</v>
      </c>
      <c r="C22" s="4">
        <v>0</v>
      </c>
      <c r="D22" s="4" t="s">
        <v>99</v>
      </c>
      <c r="E22" s="4">
        <v>24</v>
      </c>
      <c r="F22" s="4" t="s">
        <v>100</v>
      </c>
      <c r="G22" s="4">
        <v>5</v>
      </c>
      <c r="H22" s="4" t="s">
        <v>5</v>
      </c>
      <c r="I22" s="4">
        <v>10</v>
      </c>
      <c r="J22" s="54"/>
    </row>
    <row r="23" spans="1:10" ht="12.75" thickBot="1" x14ac:dyDescent="0.25">
      <c r="A23" s="40"/>
      <c r="B23" s="6" t="s">
        <v>39</v>
      </c>
      <c r="C23" s="6">
        <f>SUM(C15:C22)</f>
        <v>54</v>
      </c>
      <c r="D23" s="6"/>
      <c r="E23" s="6">
        <f>SUM(E15:E22)</f>
        <v>1525</v>
      </c>
      <c r="F23" s="6"/>
      <c r="G23" s="6">
        <f>SUM(G15:G22)</f>
        <v>283</v>
      </c>
      <c r="H23" s="6"/>
      <c r="I23" s="6">
        <f>SUM(I15:I22)</f>
        <v>365</v>
      </c>
      <c r="J23" s="7">
        <f>C23+E23+G23+I23</f>
        <v>2227</v>
      </c>
    </row>
    <row r="24" spans="1:10" ht="12" customHeight="1" x14ac:dyDescent="0.2">
      <c r="A24" s="39" t="s">
        <v>43</v>
      </c>
      <c r="B24" s="4" t="s">
        <v>101</v>
      </c>
      <c r="C24" s="4">
        <v>1</v>
      </c>
      <c r="D24" s="4" t="s">
        <v>102</v>
      </c>
      <c r="E24" s="4">
        <v>74</v>
      </c>
      <c r="F24" s="4" t="s">
        <v>103</v>
      </c>
      <c r="G24" s="4">
        <v>18</v>
      </c>
      <c r="H24" s="4" t="s">
        <v>6</v>
      </c>
      <c r="I24" s="4">
        <v>15</v>
      </c>
      <c r="J24" s="54"/>
    </row>
    <row r="25" spans="1:10" x14ac:dyDescent="0.2">
      <c r="A25" s="40"/>
      <c r="B25" s="4" t="s">
        <v>104</v>
      </c>
      <c r="C25" s="4">
        <v>0</v>
      </c>
      <c r="D25" s="4" t="s">
        <v>105</v>
      </c>
      <c r="E25" s="4">
        <v>64</v>
      </c>
      <c r="F25" s="4" t="s">
        <v>106</v>
      </c>
      <c r="G25" s="4">
        <v>12</v>
      </c>
      <c r="H25" s="4" t="s">
        <v>21</v>
      </c>
      <c r="I25" s="4">
        <v>22</v>
      </c>
      <c r="J25" s="54"/>
    </row>
    <row r="26" spans="1:10" x14ac:dyDescent="0.2">
      <c r="A26" s="40"/>
      <c r="B26" s="4" t="s">
        <v>107</v>
      </c>
      <c r="C26" s="4">
        <v>0</v>
      </c>
      <c r="D26" s="4" t="s">
        <v>108</v>
      </c>
      <c r="E26" s="4">
        <v>194</v>
      </c>
      <c r="F26" s="4" t="s">
        <v>109</v>
      </c>
      <c r="G26" s="4">
        <v>42</v>
      </c>
      <c r="H26" s="4" t="s">
        <v>22</v>
      </c>
      <c r="I26" s="4">
        <v>48</v>
      </c>
      <c r="J26" s="54"/>
    </row>
    <row r="27" spans="1:10" x14ac:dyDescent="0.2">
      <c r="A27" s="40"/>
      <c r="B27" s="4" t="s">
        <v>110</v>
      </c>
      <c r="C27" s="4">
        <v>2</v>
      </c>
      <c r="D27" s="4" t="s">
        <v>111</v>
      </c>
      <c r="E27" s="4">
        <v>105</v>
      </c>
      <c r="F27" s="4" t="s">
        <v>112</v>
      </c>
      <c r="G27" s="4">
        <v>14</v>
      </c>
      <c r="H27" s="4" t="s">
        <v>23</v>
      </c>
      <c r="I27" s="4">
        <v>20</v>
      </c>
      <c r="J27" s="54"/>
    </row>
    <row r="28" spans="1:10" x14ac:dyDescent="0.2">
      <c r="A28" s="40"/>
      <c r="B28" s="4" t="s">
        <v>113</v>
      </c>
      <c r="C28" s="4">
        <v>1</v>
      </c>
      <c r="D28" s="4" t="s">
        <v>114</v>
      </c>
      <c r="E28" s="4">
        <v>42</v>
      </c>
      <c r="F28" s="4" t="s">
        <v>115</v>
      </c>
      <c r="G28" s="4">
        <v>13</v>
      </c>
      <c r="H28" s="4" t="s">
        <v>24</v>
      </c>
      <c r="I28" s="4">
        <v>14</v>
      </c>
      <c r="J28" s="54"/>
    </row>
    <row r="29" spans="1:10" x14ac:dyDescent="0.2">
      <c r="A29" s="40"/>
      <c r="B29" s="4" t="s">
        <v>116</v>
      </c>
      <c r="C29" s="4">
        <v>0</v>
      </c>
      <c r="D29" s="4" t="s">
        <v>117</v>
      </c>
      <c r="E29" s="4">
        <v>20</v>
      </c>
      <c r="F29" s="4" t="s">
        <v>118</v>
      </c>
      <c r="G29" s="4">
        <v>1</v>
      </c>
      <c r="H29" s="4" t="s">
        <v>25</v>
      </c>
      <c r="I29" s="4">
        <v>1</v>
      </c>
      <c r="J29" s="54"/>
    </row>
    <row r="30" spans="1:10" x14ac:dyDescent="0.2">
      <c r="A30" s="40"/>
      <c r="B30" s="4" t="s">
        <v>119</v>
      </c>
      <c r="C30" s="4">
        <v>0</v>
      </c>
      <c r="D30" s="4" t="s">
        <v>120</v>
      </c>
      <c r="E30" s="4">
        <v>10</v>
      </c>
      <c r="F30" s="4" t="s">
        <v>121</v>
      </c>
      <c r="G30" s="4">
        <v>2</v>
      </c>
      <c r="H30" s="4" t="s">
        <v>26</v>
      </c>
      <c r="I30" s="4">
        <v>5</v>
      </c>
      <c r="J30" s="54"/>
    </row>
    <row r="31" spans="1:10" x14ac:dyDescent="0.2">
      <c r="A31" s="40"/>
      <c r="B31" s="4" t="s">
        <v>122</v>
      </c>
      <c r="C31" s="4">
        <v>0</v>
      </c>
      <c r="D31" s="4" t="s">
        <v>123</v>
      </c>
      <c r="E31" s="4">
        <v>2</v>
      </c>
      <c r="F31" s="4" t="s">
        <v>124</v>
      </c>
      <c r="G31" s="4">
        <v>0</v>
      </c>
      <c r="H31" s="4" t="s">
        <v>7</v>
      </c>
      <c r="I31" s="4">
        <v>0</v>
      </c>
      <c r="J31" s="54"/>
    </row>
    <row r="32" spans="1:10" ht="12.75" thickBot="1" x14ac:dyDescent="0.25">
      <c r="A32" s="40"/>
      <c r="B32" s="6" t="s">
        <v>39</v>
      </c>
      <c r="C32" s="6">
        <f>SUM(C24:C31)</f>
        <v>4</v>
      </c>
      <c r="D32" s="6"/>
      <c r="E32" s="6">
        <f>SUM(E24:E31)</f>
        <v>511</v>
      </c>
      <c r="F32" s="6"/>
      <c r="G32" s="6">
        <f>SUM(G24:G31)</f>
        <v>102</v>
      </c>
      <c r="H32" s="6"/>
      <c r="I32" s="6">
        <f>SUM(I24:I31)</f>
        <v>125</v>
      </c>
      <c r="J32" s="7">
        <f>C32+E32+G32+I32</f>
        <v>742</v>
      </c>
    </row>
    <row r="33" spans="1:10" ht="12" customHeight="1" x14ac:dyDescent="0.2">
      <c r="A33" s="39" t="s">
        <v>44</v>
      </c>
      <c r="B33" s="4" t="s">
        <v>0</v>
      </c>
      <c r="C33" s="4">
        <v>0</v>
      </c>
      <c r="D33" s="4" t="s">
        <v>125</v>
      </c>
      <c r="E33" s="4">
        <v>42</v>
      </c>
      <c r="F33" s="4" t="s">
        <v>126</v>
      </c>
      <c r="G33" s="4">
        <v>3</v>
      </c>
      <c r="H33" s="4" t="s">
        <v>8</v>
      </c>
      <c r="I33" s="4">
        <v>11</v>
      </c>
      <c r="J33" s="54"/>
    </row>
    <row r="34" spans="1:10" x14ac:dyDescent="0.2">
      <c r="A34" s="40"/>
      <c r="B34" s="4" t="s">
        <v>14</v>
      </c>
      <c r="C34" s="4">
        <v>1</v>
      </c>
      <c r="D34" s="4" t="s">
        <v>127</v>
      </c>
      <c r="E34" s="4">
        <v>21</v>
      </c>
      <c r="F34" s="4" t="s">
        <v>128</v>
      </c>
      <c r="G34" s="4">
        <v>8</v>
      </c>
      <c r="H34" s="4" t="s">
        <v>27</v>
      </c>
      <c r="I34" s="4">
        <v>6</v>
      </c>
      <c r="J34" s="54"/>
    </row>
    <row r="35" spans="1:10" x14ac:dyDescent="0.2">
      <c r="A35" s="40"/>
      <c r="B35" s="4" t="s">
        <v>10</v>
      </c>
      <c r="C35" s="4">
        <v>1</v>
      </c>
      <c r="D35" s="4" t="s">
        <v>129</v>
      </c>
      <c r="E35" s="4">
        <v>139</v>
      </c>
      <c r="F35" s="4" t="s">
        <v>130</v>
      </c>
      <c r="G35" s="4">
        <v>20</v>
      </c>
      <c r="H35" s="4" t="s">
        <v>28</v>
      </c>
      <c r="I35" s="4">
        <v>31</v>
      </c>
      <c r="J35" s="54"/>
    </row>
    <row r="36" spans="1:10" x14ac:dyDescent="0.2">
      <c r="A36" s="40"/>
      <c r="B36" s="4" t="s">
        <v>11</v>
      </c>
      <c r="C36" s="4">
        <v>0</v>
      </c>
      <c r="D36" s="4" t="s">
        <v>131</v>
      </c>
      <c r="E36" s="4">
        <v>60</v>
      </c>
      <c r="F36" s="4" t="s">
        <v>132</v>
      </c>
      <c r="G36" s="4">
        <v>12</v>
      </c>
      <c r="H36" s="4" t="s">
        <v>29</v>
      </c>
      <c r="I36" s="4">
        <v>21</v>
      </c>
      <c r="J36" s="54"/>
    </row>
    <row r="37" spans="1:10" x14ac:dyDescent="0.2">
      <c r="A37" s="40"/>
      <c r="B37" s="4" t="s">
        <v>12</v>
      </c>
      <c r="C37" s="4">
        <v>1</v>
      </c>
      <c r="D37" s="4" t="s">
        <v>133</v>
      </c>
      <c r="E37" s="4">
        <v>21</v>
      </c>
      <c r="F37" s="4" t="s">
        <v>134</v>
      </c>
      <c r="G37" s="4">
        <v>3</v>
      </c>
      <c r="H37" s="4" t="s">
        <v>30</v>
      </c>
      <c r="I37" s="4">
        <v>7</v>
      </c>
      <c r="J37" s="54"/>
    </row>
    <row r="38" spans="1:10" x14ac:dyDescent="0.2">
      <c r="A38" s="40"/>
      <c r="B38" s="4" t="s">
        <v>135</v>
      </c>
      <c r="C38" s="4">
        <v>0</v>
      </c>
      <c r="D38" s="4" t="s">
        <v>136</v>
      </c>
      <c r="E38" s="4">
        <v>8</v>
      </c>
      <c r="F38" s="4" t="s">
        <v>137</v>
      </c>
      <c r="G38" s="4">
        <v>0</v>
      </c>
      <c r="H38" s="4" t="s">
        <v>31</v>
      </c>
      <c r="I38" s="4">
        <v>1</v>
      </c>
      <c r="J38" s="54"/>
    </row>
    <row r="39" spans="1:10" x14ac:dyDescent="0.2">
      <c r="A39" s="40"/>
      <c r="B39" s="4" t="s">
        <v>138</v>
      </c>
      <c r="C39" s="4">
        <v>0</v>
      </c>
      <c r="D39" s="4" t="s">
        <v>139</v>
      </c>
      <c r="E39" s="4">
        <v>5</v>
      </c>
      <c r="F39" s="4" t="s">
        <v>140</v>
      </c>
      <c r="G39" s="4">
        <v>0</v>
      </c>
      <c r="H39" s="4" t="s">
        <v>32</v>
      </c>
      <c r="I39" s="4">
        <v>0</v>
      </c>
      <c r="J39" s="54"/>
    </row>
    <row r="40" spans="1:10" x14ac:dyDescent="0.2">
      <c r="A40" s="40"/>
      <c r="B40" s="4" t="s">
        <v>2</v>
      </c>
      <c r="C40" s="4">
        <v>0</v>
      </c>
      <c r="D40" s="4" t="s">
        <v>141</v>
      </c>
      <c r="E40" s="4">
        <v>0</v>
      </c>
      <c r="F40" s="4" t="s">
        <v>142</v>
      </c>
      <c r="G40" s="4">
        <v>0</v>
      </c>
      <c r="H40" s="4" t="s">
        <v>9</v>
      </c>
      <c r="I40" s="4">
        <v>0</v>
      </c>
      <c r="J40" s="54"/>
    </row>
    <row r="41" spans="1:10" ht="12.75" thickBot="1" x14ac:dyDescent="0.25">
      <c r="A41" s="40"/>
      <c r="B41" s="30" t="s">
        <v>39</v>
      </c>
      <c r="C41" s="30">
        <f>SUM(C33:C40)</f>
        <v>3</v>
      </c>
      <c r="D41" s="30"/>
      <c r="E41" s="30">
        <f>SUM(E33:E40)</f>
        <v>296</v>
      </c>
      <c r="F41" s="30"/>
      <c r="G41" s="30">
        <f>SUM(G33:G40)</f>
        <v>46</v>
      </c>
      <c r="H41" s="30"/>
      <c r="I41" s="30">
        <f>SUM(I33:I40)</f>
        <v>77</v>
      </c>
      <c r="J41" s="31">
        <f>C41+E41+G41+I41</f>
        <v>422</v>
      </c>
    </row>
    <row r="42" spans="1:10" ht="12.75" thickBot="1" x14ac:dyDescent="0.25">
      <c r="A42" s="25" t="s">
        <v>39</v>
      </c>
      <c r="B42" s="26"/>
      <c r="C42" s="27">
        <f>C14+C23+C32+C41</f>
        <v>111</v>
      </c>
      <c r="D42" s="27"/>
      <c r="E42" s="27">
        <f>E14+E23+E32+E41</f>
        <v>4203</v>
      </c>
      <c r="F42" s="27"/>
      <c r="G42" s="27">
        <f>G14+G23+G32+G41</f>
        <v>866</v>
      </c>
      <c r="H42" s="27"/>
      <c r="I42" s="27">
        <f>I14+I23+I32+I41</f>
        <v>1173</v>
      </c>
      <c r="J42" s="28">
        <f>C42+E42+G42+I42</f>
        <v>6353</v>
      </c>
    </row>
    <row r="43" spans="1:10" x14ac:dyDescent="0.2">
      <c r="A43" s="19"/>
      <c r="B43" s="32"/>
      <c r="C43" s="19"/>
      <c r="D43" s="19"/>
      <c r="E43" s="19"/>
      <c r="F43" s="19"/>
      <c r="G43" s="19"/>
      <c r="H43" s="19"/>
      <c r="I43" s="19"/>
      <c r="J43" s="19"/>
    </row>
    <row r="44" spans="1:10" x14ac:dyDescent="0.2">
      <c r="A44" s="29" t="s">
        <v>149</v>
      </c>
      <c r="B44" s="29"/>
      <c r="C44" s="29"/>
      <c r="D44" s="29"/>
      <c r="E44" s="29"/>
      <c r="F44" s="29"/>
    </row>
    <row r="45" spans="1:10" x14ac:dyDescent="0.2">
      <c r="A45" s="13">
        <v>43077</v>
      </c>
    </row>
    <row r="46" spans="1:10" x14ac:dyDescent="0.2">
      <c r="A46" s="36" t="s">
        <v>35</v>
      </c>
      <c r="B46" s="36"/>
      <c r="C46" s="36"/>
    </row>
    <row r="47" spans="1:10" x14ac:dyDescent="0.2">
      <c r="G47" s="37" t="s">
        <v>45</v>
      </c>
      <c r="H47" s="37"/>
      <c r="I47" s="37"/>
      <c r="J47" s="37"/>
    </row>
    <row r="48" spans="1:10" x14ac:dyDescent="0.2">
      <c r="G48" s="37" t="s">
        <v>46</v>
      </c>
      <c r="H48" s="37"/>
      <c r="I48" s="37"/>
      <c r="J48" s="37"/>
    </row>
    <row r="52" spans="1:1" x14ac:dyDescent="0.2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4" zoomScaleNormal="100" workbookViewId="0">
      <selection activeCell="A46" sqref="A46"/>
    </sheetView>
  </sheetViews>
  <sheetFormatPr defaultRowHeight="12" x14ac:dyDescent="0.2"/>
  <cols>
    <col min="1" max="1" width="11.42578125" style="1" customWidth="1"/>
    <col min="2" max="2" width="14.85546875" style="1" bestFit="1" customWidth="1"/>
    <col min="3" max="3" width="11.85546875" style="1" customWidth="1"/>
    <col min="4" max="4" width="9.85546875" style="1" customWidth="1"/>
    <col min="5" max="5" width="10.140625" style="1" customWidth="1"/>
    <col min="6" max="6" width="7.7109375" style="1" bestFit="1" customWidth="1"/>
    <col min="7" max="16384" width="9.140625" style="1"/>
  </cols>
  <sheetData>
    <row r="1" spans="1:6" ht="42" customHeight="1" x14ac:dyDescent="0.2">
      <c r="A1" s="38" t="s">
        <v>151</v>
      </c>
      <c r="B1" s="38"/>
      <c r="C1" s="38"/>
      <c r="D1" s="38"/>
      <c r="E1" s="38"/>
      <c r="F1" s="38"/>
    </row>
    <row r="2" spans="1:6" ht="12.75" thickBot="1" x14ac:dyDescent="0.25"/>
    <row r="3" spans="1:6" x14ac:dyDescent="0.2">
      <c r="A3" s="42"/>
      <c r="B3" s="45" t="s">
        <v>40</v>
      </c>
      <c r="C3" s="48" t="s">
        <v>36</v>
      </c>
      <c r="D3" s="48"/>
      <c r="E3" s="48"/>
      <c r="F3" s="49" t="s">
        <v>39</v>
      </c>
    </row>
    <row r="4" spans="1:6" ht="12" customHeight="1" x14ac:dyDescent="0.2">
      <c r="A4" s="43"/>
      <c r="B4" s="46"/>
      <c r="C4" s="52" t="s">
        <v>47</v>
      </c>
      <c r="D4" s="52" t="s">
        <v>37</v>
      </c>
      <c r="E4" s="52" t="s">
        <v>38</v>
      </c>
      <c r="F4" s="50"/>
    </row>
    <row r="5" spans="1:6" ht="30" customHeight="1" thickBot="1" x14ac:dyDescent="0.25">
      <c r="A5" s="44"/>
      <c r="B5" s="47"/>
      <c r="C5" s="53"/>
      <c r="D5" s="53"/>
      <c r="E5" s="53"/>
      <c r="F5" s="51"/>
    </row>
    <row r="6" spans="1:6" ht="12" customHeight="1" x14ac:dyDescent="0.2">
      <c r="A6" s="39" t="s">
        <v>41</v>
      </c>
      <c r="B6" s="2" t="s">
        <v>0</v>
      </c>
      <c r="C6" s="2">
        <f>14529+23</f>
        <v>14552</v>
      </c>
      <c r="D6" s="2">
        <v>3760</v>
      </c>
      <c r="E6" s="2">
        <v>384</v>
      </c>
      <c r="F6" s="3">
        <f t="shared" ref="F6:F42" si="0">SUM(C6:E6)</f>
        <v>18696</v>
      </c>
    </row>
    <row r="7" spans="1:6" x14ac:dyDescent="0.2">
      <c r="A7" s="40"/>
      <c r="B7" s="4" t="s">
        <v>14</v>
      </c>
      <c r="C7" s="4">
        <f>14563+25</f>
        <v>14588</v>
      </c>
      <c r="D7" s="4">
        <f>5521+96</f>
        <v>5617</v>
      </c>
      <c r="E7" s="4">
        <v>15</v>
      </c>
      <c r="F7" s="5">
        <f t="shared" si="0"/>
        <v>20220</v>
      </c>
    </row>
    <row r="8" spans="1:6" x14ac:dyDescent="0.2">
      <c r="A8" s="40"/>
      <c r="B8" s="4" t="s">
        <v>10</v>
      </c>
      <c r="C8" s="4">
        <f>17755+180</f>
        <v>17935</v>
      </c>
      <c r="D8" s="4">
        <f>14562+72</f>
        <v>14634</v>
      </c>
      <c r="E8" s="4">
        <v>45</v>
      </c>
      <c r="F8" s="5">
        <f t="shared" si="0"/>
        <v>32614</v>
      </c>
    </row>
    <row r="9" spans="1:6" x14ac:dyDescent="0.2">
      <c r="A9" s="40"/>
      <c r="B9" s="4" t="s">
        <v>11</v>
      </c>
      <c r="C9" s="4">
        <f>9036+149</f>
        <v>9185</v>
      </c>
      <c r="D9" s="4">
        <f>3060+62</f>
        <v>3122</v>
      </c>
      <c r="E9" s="4">
        <v>32</v>
      </c>
      <c r="F9" s="5">
        <f t="shared" si="0"/>
        <v>12339</v>
      </c>
    </row>
    <row r="10" spans="1:6" x14ac:dyDescent="0.2">
      <c r="A10" s="40"/>
      <c r="B10" s="4" t="s">
        <v>12</v>
      </c>
      <c r="C10" s="4">
        <f>5568+74</f>
        <v>5642</v>
      </c>
      <c r="D10" s="4">
        <f>1058+18</f>
        <v>1076</v>
      </c>
      <c r="E10" s="4">
        <v>16</v>
      </c>
      <c r="F10" s="5">
        <f t="shared" si="0"/>
        <v>6734</v>
      </c>
    </row>
    <row r="11" spans="1:6" x14ac:dyDescent="0.2">
      <c r="A11" s="40"/>
      <c r="B11" s="4" t="s">
        <v>13</v>
      </c>
      <c r="C11" s="4">
        <f>4515+32</f>
        <v>4547</v>
      </c>
      <c r="D11" s="4">
        <f>340+3</f>
        <v>343</v>
      </c>
      <c r="E11" s="4">
        <v>9</v>
      </c>
      <c r="F11" s="5">
        <f t="shared" si="0"/>
        <v>4899</v>
      </c>
    </row>
    <row r="12" spans="1:6" x14ac:dyDescent="0.2">
      <c r="A12" s="40"/>
      <c r="B12" s="4" t="s">
        <v>1</v>
      </c>
      <c r="C12" s="4">
        <f>3094+13</f>
        <v>3107</v>
      </c>
      <c r="D12" s="4">
        <f>54+9</f>
        <v>63</v>
      </c>
      <c r="E12" s="4">
        <v>3</v>
      </c>
      <c r="F12" s="5">
        <f t="shared" si="0"/>
        <v>3173</v>
      </c>
    </row>
    <row r="13" spans="1:6" x14ac:dyDescent="0.2">
      <c r="A13" s="40"/>
      <c r="B13" s="4" t="s">
        <v>2</v>
      </c>
      <c r="C13" s="4">
        <f>3039+2</f>
        <v>3041</v>
      </c>
      <c r="D13" s="4">
        <f>8+3</f>
        <v>11</v>
      </c>
      <c r="E13" s="4">
        <v>3</v>
      </c>
      <c r="F13" s="5">
        <f t="shared" si="0"/>
        <v>3055</v>
      </c>
    </row>
    <row r="14" spans="1:6" x14ac:dyDescent="0.2">
      <c r="A14" s="40"/>
      <c r="B14" s="6" t="s">
        <v>39</v>
      </c>
      <c r="C14" s="6">
        <f>SUM(C6:C13)</f>
        <v>72597</v>
      </c>
      <c r="D14" s="6">
        <f>SUM(D6:D13)</f>
        <v>28626</v>
      </c>
      <c r="E14" s="6">
        <f>SUM(E6:E13)</f>
        <v>507</v>
      </c>
      <c r="F14" s="7">
        <f t="shared" si="0"/>
        <v>101730</v>
      </c>
    </row>
    <row r="15" spans="1:6" ht="12" customHeight="1" x14ac:dyDescent="0.2">
      <c r="A15" s="40" t="s">
        <v>42</v>
      </c>
      <c r="B15" s="4" t="s">
        <v>4</v>
      </c>
      <c r="C15" s="4">
        <f>7126+69</f>
        <v>7195</v>
      </c>
      <c r="D15" s="4">
        <v>120</v>
      </c>
      <c r="E15" s="4">
        <v>210</v>
      </c>
      <c r="F15" s="5">
        <f t="shared" si="0"/>
        <v>7525</v>
      </c>
    </row>
    <row r="16" spans="1:6" x14ac:dyDescent="0.2">
      <c r="A16" s="40"/>
      <c r="B16" s="4" t="s">
        <v>15</v>
      </c>
      <c r="C16" s="4">
        <f>4187+71</f>
        <v>4258</v>
      </c>
      <c r="D16" s="4">
        <f>120+1</f>
        <v>121</v>
      </c>
      <c r="E16" s="4">
        <v>10</v>
      </c>
      <c r="F16" s="5">
        <f t="shared" si="0"/>
        <v>4389</v>
      </c>
    </row>
    <row r="17" spans="1:6" x14ac:dyDescent="0.2">
      <c r="A17" s="40"/>
      <c r="B17" s="4" t="s">
        <v>16</v>
      </c>
      <c r="C17" s="4">
        <f>7761+139</f>
        <v>7900</v>
      </c>
      <c r="D17" s="4">
        <f>378+8</f>
        <v>386</v>
      </c>
      <c r="E17" s="4">
        <v>41</v>
      </c>
      <c r="F17" s="5">
        <f t="shared" si="0"/>
        <v>8327</v>
      </c>
    </row>
    <row r="18" spans="1:6" x14ac:dyDescent="0.2">
      <c r="A18" s="40"/>
      <c r="B18" s="4" t="s">
        <v>17</v>
      </c>
      <c r="C18" s="4">
        <f>4458+81</f>
        <v>4539</v>
      </c>
      <c r="D18" s="4">
        <f>142+5</f>
        <v>147</v>
      </c>
      <c r="E18" s="4">
        <v>23</v>
      </c>
      <c r="F18" s="5">
        <f t="shared" si="0"/>
        <v>4709</v>
      </c>
    </row>
    <row r="19" spans="1:6" x14ac:dyDescent="0.2">
      <c r="A19" s="40"/>
      <c r="B19" s="4" t="s">
        <v>18</v>
      </c>
      <c r="C19" s="4">
        <f>3101+58</f>
        <v>3159</v>
      </c>
      <c r="D19" s="4">
        <f>63+4</f>
        <v>67</v>
      </c>
      <c r="E19" s="4">
        <v>15</v>
      </c>
      <c r="F19" s="5">
        <f t="shared" si="0"/>
        <v>3241</v>
      </c>
    </row>
    <row r="20" spans="1:6" x14ac:dyDescent="0.2">
      <c r="A20" s="40"/>
      <c r="B20" s="4" t="s">
        <v>19</v>
      </c>
      <c r="C20" s="4">
        <f>2020+20</f>
        <v>2040</v>
      </c>
      <c r="D20" s="4">
        <f>15+2</f>
        <v>17</v>
      </c>
      <c r="E20" s="4">
        <v>3</v>
      </c>
      <c r="F20" s="5">
        <f t="shared" si="0"/>
        <v>2060</v>
      </c>
    </row>
    <row r="21" spans="1:6" x14ac:dyDescent="0.2">
      <c r="A21" s="40"/>
      <c r="B21" s="4" t="s">
        <v>20</v>
      </c>
      <c r="C21" s="4">
        <f>1295+1</f>
        <v>1296</v>
      </c>
      <c r="D21" s="4">
        <f>1+1</f>
        <v>2</v>
      </c>
      <c r="E21" s="4">
        <v>1</v>
      </c>
      <c r="F21" s="5">
        <f t="shared" si="0"/>
        <v>1299</v>
      </c>
    </row>
    <row r="22" spans="1:6" x14ac:dyDescent="0.2">
      <c r="A22" s="40"/>
      <c r="B22" s="4" t="s">
        <v>5</v>
      </c>
      <c r="C22" s="4">
        <v>228</v>
      </c>
      <c r="D22" s="4">
        <v>0</v>
      </c>
      <c r="E22" s="4">
        <v>1</v>
      </c>
      <c r="F22" s="5">
        <f t="shared" si="0"/>
        <v>229</v>
      </c>
    </row>
    <row r="23" spans="1:6" x14ac:dyDescent="0.2">
      <c r="A23" s="40"/>
      <c r="B23" s="6" t="s">
        <v>39</v>
      </c>
      <c r="C23" s="6">
        <f>SUM(C15:C22)</f>
        <v>30615</v>
      </c>
      <c r="D23" s="6">
        <f>SUM(D15:D22)</f>
        <v>860</v>
      </c>
      <c r="E23" s="6">
        <f>SUM(E15:E22)</f>
        <v>304</v>
      </c>
      <c r="F23" s="7">
        <f t="shared" si="0"/>
        <v>31779</v>
      </c>
    </row>
    <row r="24" spans="1:6" ht="12" customHeight="1" x14ac:dyDescent="0.2">
      <c r="A24" s="40" t="s">
        <v>43</v>
      </c>
      <c r="B24" s="4" t="s">
        <v>6</v>
      </c>
      <c r="C24" s="4">
        <v>144</v>
      </c>
      <c r="D24" s="4">
        <v>46</v>
      </c>
      <c r="E24" s="4">
        <v>62</v>
      </c>
      <c r="F24" s="5">
        <f t="shared" si="0"/>
        <v>252</v>
      </c>
    </row>
    <row r="25" spans="1:6" x14ac:dyDescent="0.2">
      <c r="A25" s="40"/>
      <c r="B25" s="4" t="s">
        <v>21</v>
      </c>
      <c r="C25" s="4">
        <v>76</v>
      </c>
      <c r="D25" s="4">
        <v>34</v>
      </c>
      <c r="E25" s="4">
        <v>9</v>
      </c>
      <c r="F25" s="5">
        <f t="shared" si="0"/>
        <v>119</v>
      </c>
    </row>
    <row r="26" spans="1:6" x14ac:dyDescent="0.2">
      <c r="A26" s="40"/>
      <c r="B26" s="4" t="s">
        <v>22</v>
      </c>
      <c r="C26" s="4">
        <f>292+5</f>
        <v>297</v>
      </c>
      <c r="D26" s="4">
        <f>104+2</f>
        <v>106</v>
      </c>
      <c r="E26" s="4">
        <v>16</v>
      </c>
      <c r="F26" s="5">
        <f t="shared" si="0"/>
        <v>419</v>
      </c>
    </row>
    <row r="27" spans="1:6" x14ac:dyDescent="0.2">
      <c r="A27" s="40"/>
      <c r="B27" s="4" t="s">
        <v>23</v>
      </c>
      <c r="C27" s="4">
        <f>160+2</f>
        <v>162</v>
      </c>
      <c r="D27" s="4">
        <f>59+4</f>
        <v>63</v>
      </c>
      <c r="E27" s="4">
        <v>7</v>
      </c>
      <c r="F27" s="5">
        <f t="shared" si="0"/>
        <v>232</v>
      </c>
    </row>
    <row r="28" spans="1:6" x14ac:dyDescent="0.2">
      <c r="A28" s="40"/>
      <c r="B28" s="4" t="s">
        <v>24</v>
      </c>
      <c r="C28" s="4">
        <v>124</v>
      </c>
      <c r="D28" s="4">
        <f>30+2</f>
        <v>32</v>
      </c>
      <c r="E28" s="4">
        <v>0</v>
      </c>
      <c r="F28" s="5">
        <f t="shared" si="0"/>
        <v>156</v>
      </c>
    </row>
    <row r="29" spans="1:6" x14ac:dyDescent="0.2">
      <c r="A29" s="40"/>
      <c r="B29" s="4" t="s">
        <v>25</v>
      </c>
      <c r="C29" s="4">
        <f>100+1</f>
        <v>101</v>
      </c>
      <c r="D29" s="4">
        <f>12+1</f>
        <v>13</v>
      </c>
      <c r="E29" s="4">
        <v>0</v>
      </c>
      <c r="F29" s="5">
        <f t="shared" si="0"/>
        <v>114</v>
      </c>
    </row>
    <row r="30" spans="1:6" x14ac:dyDescent="0.2">
      <c r="A30" s="40"/>
      <c r="B30" s="4" t="s">
        <v>26</v>
      </c>
      <c r="C30" s="4">
        <v>49</v>
      </c>
      <c r="D30" s="4">
        <v>0</v>
      </c>
      <c r="E30" s="4">
        <v>0</v>
      </c>
      <c r="F30" s="5">
        <f t="shared" si="0"/>
        <v>49</v>
      </c>
    </row>
    <row r="31" spans="1:6" x14ac:dyDescent="0.2">
      <c r="A31" s="40"/>
      <c r="B31" s="4" t="s">
        <v>7</v>
      </c>
      <c r="C31" s="4">
        <v>1</v>
      </c>
      <c r="D31" s="4">
        <v>0</v>
      </c>
      <c r="E31" s="4">
        <v>1</v>
      </c>
      <c r="F31" s="5">
        <f t="shared" si="0"/>
        <v>2</v>
      </c>
    </row>
    <row r="32" spans="1:6" x14ac:dyDescent="0.2">
      <c r="A32" s="40"/>
      <c r="B32" s="6" t="s">
        <v>39</v>
      </c>
      <c r="C32" s="6">
        <f>SUM(C24:C31)</f>
        <v>954</v>
      </c>
      <c r="D32" s="6">
        <f>SUM(D24:D31)</f>
        <v>294</v>
      </c>
      <c r="E32" s="6">
        <f>SUM(E24:E31)</f>
        <v>95</v>
      </c>
      <c r="F32" s="7">
        <f t="shared" si="0"/>
        <v>1343</v>
      </c>
    </row>
    <row r="33" spans="1:6" ht="12" customHeight="1" x14ac:dyDescent="0.2">
      <c r="A33" s="40" t="s">
        <v>44</v>
      </c>
      <c r="B33" s="4" t="s">
        <v>8</v>
      </c>
      <c r="C33" s="4">
        <v>32</v>
      </c>
      <c r="D33" s="4">
        <v>20</v>
      </c>
      <c r="E33" s="4">
        <v>49</v>
      </c>
      <c r="F33" s="5">
        <f t="shared" si="0"/>
        <v>101</v>
      </c>
    </row>
    <row r="34" spans="1:6" x14ac:dyDescent="0.2">
      <c r="A34" s="40"/>
      <c r="B34" s="4" t="s">
        <v>27</v>
      </c>
      <c r="C34" s="4">
        <v>13</v>
      </c>
      <c r="D34" s="4">
        <v>1</v>
      </c>
      <c r="E34" s="4">
        <v>3</v>
      </c>
      <c r="F34" s="5">
        <f t="shared" si="0"/>
        <v>17</v>
      </c>
    </row>
    <row r="35" spans="1:6" x14ac:dyDescent="0.2">
      <c r="A35" s="40"/>
      <c r="B35" s="4" t="s">
        <v>28</v>
      </c>
      <c r="C35" s="4">
        <v>50</v>
      </c>
      <c r="D35" s="4">
        <f>39+1</f>
        <v>40</v>
      </c>
      <c r="E35" s="4">
        <v>15</v>
      </c>
      <c r="F35" s="5">
        <f t="shared" si="0"/>
        <v>105</v>
      </c>
    </row>
    <row r="36" spans="1:6" x14ac:dyDescent="0.2">
      <c r="A36" s="40"/>
      <c r="B36" s="4" t="s">
        <v>29</v>
      </c>
      <c r="C36" s="4">
        <v>31</v>
      </c>
      <c r="D36" s="4">
        <v>27</v>
      </c>
      <c r="E36" s="4">
        <v>5</v>
      </c>
      <c r="F36" s="5">
        <f t="shared" si="0"/>
        <v>63</v>
      </c>
    </row>
    <row r="37" spans="1:6" x14ac:dyDescent="0.2">
      <c r="A37" s="40"/>
      <c r="B37" s="4" t="s">
        <v>30</v>
      </c>
      <c r="C37" s="4">
        <f>27+1</f>
        <v>28</v>
      </c>
      <c r="D37" s="4">
        <f>7+2</f>
        <v>9</v>
      </c>
      <c r="E37" s="4">
        <v>0</v>
      </c>
      <c r="F37" s="5">
        <f t="shared" si="0"/>
        <v>37</v>
      </c>
    </row>
    <row r="38" spans="1:6" x14ac:dyDescent="0.2">
      <c r="A38" s="40"/>
      <c r="B38" s="4" t="s">
        <v>31</v>
      </c>
      <c r="C38" s="4">
        <v>22</v>
      </c>
      <c r="D38" s="4">
        <f>1+1</f>
        <v>2</v>
      </c>
      <c r="E38" s="4">
        <v>0</v>
      </c>
      <c r="F38" s="5">
        <f t="shared" si="0"/>
        <v>24</v>
      </c>
    </row>
    <row r="39" spans="1:6" x14ac:dyDescent="0.2">
      <c r="A39" s="40"/>
      <c r="B39" s="4" t="s">
        <v>32</v>
      </c>
      <c r="C39" s="4">
        <v>3</v>
      </c>
      <c r="D39" s="4">
        <v>0</v>
      </c>
      <c r="E39" s="4">
        <v>0</v>
      </c>
      <c r="F39" s="5">
        <f t="shared" si="0"/>
        <v>3</v>
      </c>
    </row>
    <row r="40" spans="1:6" x14ac:dyDescent="0.2">
      <c r="A40" s="40"/>
      <c r="B40" s="4" t="s">
        <v>9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1"/>
      <c r="B41" s="8" t="s">
        <v>39</v>
      </c>
      <c r="C41" s="8">
        <f>SUM(C33:C40)</f>
        <v>179</v>
      </c>
      <c r="D41" s="8">
        <f>SUM(D33:D40)</f>
        <v>99</v>
      </c>
      <c r="E41" s="8">
        <f>SUM(E33:E40)</f>
        <v>72</v>
      </c>
      <c r="F41" s="9">
        <f t="shared" si="0"/>
        <v>350</v>
      </c>
    </row>
    <row r="42" spans="1:6" ht="12.75" thickBot="1" x14ac:dyDescent="0.25">
      <c r="A42" s="10" t="s">
        <v>39</v>
      </c>
      <c r="B42" s="11"/>
      <c r="C42" s="11">
        <f>C14+C23+C32+C41</f>
        <v>104345</v>
      </c>
      <c r="D42" s="11">
        <f>D14+D23+D32+D41</f>
        <v>29879</v>
      </c>
      <c r="E42" s="11">
        <f>E14+E23+E32+E41</f>
        <v>978</v>
      </c>
      <c r="F42" s="12">
        <f t="shared" si="0"/>
        <v>135202</v>
      </c>
    </row>
    <row r="43" spans="1:6" x14ac:dyDescent="0.2">
      <c r="A43" s="18"/>
      <c r="B43" s="19"/>
      <c r="C43" s="19"/>
      <c r="D43" s="19"/>
      <c r="E43" s="19"/>
      <c r="F43" s="19"/>
    </row>
    <row r="45" spans="1:6" ht="24" customHeight="1" x14ac:dyDescent="0.2">
      <c r="A45" s="35" t="s">
        <v>155</v>
      </c>
      <c r="B45" s="35"/>
      <c r="C45" s="35"/>
      <c r="D45" s="35"/>
      <c r="E45" s="35"/>
      <c r="F45" s="35"/>
    </row>
    <row r="46" spans="1:6" x14ac:dyDescent="0.2">
      <c r="A46" s="13">
        <v>43077</v>
      </c>
    </row>
    <row r="47" spans="1:6" x14ac:dyDescent="0.2">
      <c r="A47" s="36" t="s">
        <v>34</v>
      </c>
      <c r="B47" s="36"/>
      <c r="C47" s="36"/>
    </row>
    <row r="49" spans="1:7" x14ac:dyDescent="0.2">
      <c r="D49" s="37" t="s">
        <v>45</v>
      </c>
      <c r="E49" s="37"/>
      <c r="F49" s="37"/>
      <c r="G49" s="14"/>
    </row>
    <row r="50" spans="1:7" x14ac:dyDescent="0.2">
      <c r="D50" s="37" t="s">
        <v>46</v>
      </c>
      <c r="E50" s="37"/>
      <c r="F50" s="37"/>
      <c r="G50" s="14"/>
    </row>
    <row r="54" spans="1:7" x14ac:dyDescent="0.2">
      <c r="A54" s="15"/>
    </row>
  </sheetData>
  <mergeCells count="16">
    <mergeCell ref="A45:F45"/>
    <mergeCell ref="A47:C47"/>
    <mergeCell ref="D49:F49"/>
    <mergeCell ref="D50:F50"/>
    <mergeCell ref="A1:F1"/>
    <mergeCell ref="A6:A14"/>
    <mergeCell ref="A15:A23"/>
    <mergeCell ref="A24:A32"/>
    <mergeCell ref="A33:A4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" zoomScaleNormal="100" workbookViewId="0">
      <selection activeCell="A2" sqref="A2"/>
    </sheetView>
  </sheetViews>
  <sheetFormatPr defaultRowHeight="12" x14ac:dyDescent="0.2"/>
  <cols>
    <col min="1" max="1" width="11.42578125" style="1" customWidth="1"/>
    <col min="2" max="2" width="14.7109375" style="1" customWidth="1"/>
    <col min="3" max="3" width="12.5703125" style="1" customWidth="1"/>
    <col min="4" max="4" width="14.42578125" style="1" customWidth="1"/>
    <col min="5" max="5" width="12.5703125" style="1" customWidth="1"/>
    <col min="6" max="6" width="14.28515625" style="1" customWidth="1"/>
    <col min="7" max="7" width="12.42578125" style="1" customWidth="1"/>
    <col min="8" max="8" width="14.85546875" style="1" customWidth="1"/>
    <col min="9" max="9" width="12.710937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6" t="s">
        <v>146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 thickBot="1" x14ac:dyDescent="0.25"/>
    <row r="3" spans="1:10" ht="12" customHeight="1" x14ac:dyDescent="0.2">
      <c r="A3" s="42"/>
      <c r="B3" s="58" t="s">
        <v>49</v>
      </c>
      <c r="C3" s="58" t="s">
        <v>50</v>
      </c>
      <c r="D3" s="58" t="s">
        <v>51</v>
      </c>
      <c r="E3" s="58" t="s">
        <v>50</v>
      </c>
      <c r="F3" s="58" t="s">
        <v>52</v>
      </c>
      <c r="G3" s="58" t="s">
        <v>50</v>
      </c>
      <c r="H3" s="58" t="s">
        <v>53</v>
      </c>
      <c r="I3" s="58" t="s">
        <v>50</v>
      </c>
      <c r="J3" s="61" t="s">
        <v>39</v>
      </c>
    </row>
    <row r="4" spans="1:10" x14ac:dyDescent="0.2">
      <c r="A4" s="43"/>
      <c r="B4" s="59"/>
      <c r="C4" s="59"/>
      <c r="D4" s="59"/>
      <c r="E4" s="59"/>
      <c r="F4" s="59"/>
      <c r="G4" s="59"/>
      <c r="H4" s="59"/>
      <c r="I4" s="59"/>
      <c r="J4" s="62"/>
    </row>
    <row r="5" spans="1:10" ht="12.75" thickBot="1" x14ac:dyDescent="0.25">
      <c r="A5" s="44"/>
      <c r="B5" s="60"/>
      <c r="C5" s="60"/>
      <c r="D5" s="60"/>
      <c r="E5" s="60"/>
      <c r="F5" s="60"/>
      <c r="G5" s="60"/>
      <c r="H5" s="60"/>
      <c r="I5" s="60"/>
      <c r="J5" s="63"/>
    </row>
    <row r="6" spans="1:10" ht="12" customHeight="1" x14ac:dyDescent="0.2">
      <c r="A6" s="39" t="s">
        <v>41</v>
      </c>
      <c r="B6" s="16" t="s">
        <v>54</v>
      </c>
      <c r="C6" s="16">
        <v>13</v>
      </c>
      <c r="D6" s="16" t="s">
        <v>55</v>
      </c>
      <c r="E6" s="16">
        <v>337</v>
      </c>
      <c r="F6" s="16" t="s">
        <v>56</v>
      </c>
      <c r="G6" s="16">
        <v>78</v>
      </c>
      <c r="H6" s="16" t="s">
        <v>0</v>
      </c>
      <c r="I6" s="16">
        <v>98</v>
      </c>
      <c r="J6" s="55"/>
    </row>
    <row r="7" spans="1:10" x14ac:dyDescent="0.2">
      <c r="A7" s="40"/>
      <c r="B7" s="4" t="s">
        <v>57</v>
      </c>
      <c r="C7" s="4">
        <v>5</v>
      </c>
      <c r="D7" s="4" t="s">
        <v>58</v>
      </c>
      <c r="E7" s="4">
        <v>367</v>
      </c>
      <c r="F7" s="4" t="s">
        <v>59</v>
      </c>
      <c r="G7" s="4">
        <v>76</v>
      </c>
      <c r="H7" s="4" t="s">
        <v>14</v>
      </c>
      <c r="I7" s="4">
        <v>116</v>
      </c>
      <c r="J7" s="54"/>
    </row>
    <row r="8" spans="1:10" x14ac:dyDescent="0.2">
      <c r="A8" s="40"/>
      <c r="B8" s="4" t="s">
        <v>60</v>
      </c>
      <c r="C8" s="4">
        <v>16</v>
      </c>
      <c r="D8" s="4" t="s">
        <v>61</v>
      </c>
      <c r="E8" s="4">
        <v>543</v>
      </c>
      <c r="F8" s="4" t="s">
        <v>62</v>
      </c>
      <c r="G8" s="4">
        <v>131</v>
      </c>
      <c r="H8" s="4" t="s">
        <v>10</v>
      </c>
      <c r="I8" s="4">
        <v>171</v>
      </c>
      <c r="J8" s="54"/>
    </row>
    <row r="9" spans="1:10" x14ac:dyDescent="0.2">
      <c r="A9" s="40"/>
      <c r="B9" s="4" t="s">
        <v>63</v>
      </c>
      <c r="C9" s="4">
        <v>8</v>
      </c>
      <c r="D9" s="4" t="s">
        <v>64</v>
      </c>
      <c r="E9" s="4">
        <v>228</v>
      </c>
      <c r="F9" s="4" t="s">
        <v>65</v>
      </c>
      <c r="G9" s="4">
        <v>63</v>
      </c>
      <c r="H9" s="4" t="s">
        <v>11</v>
      </c>
      <c r="I9" s="4">
        <v>71</v>
      </c>
      <c r="J9" s="54"/>
    </row>
    <row r="10" spans="1:10" x14ac:dyDescent="0.2">
      <c r="A10" s="40"/>
      <c r="B10" s="4" t="s">
        <v>66</v>
      </c>
      <c r="C10" s="4">
        <v>9</v>
      </c>
      <c r="D10" s="4" t="s">
        <v>67</v>
      </c>
      <c r="E10" s="4">
        <v>129</v>
      </c>
      <c r="F10" s="4" t="s">
        <v>68</v>
      </c>
      <c r="G10" s="4">
        <v>27</v>
      </c>
      <c r="H10" s="4" t="s">
        <v>12</v>
      </c>
      <c r="I10" s="4">
        <v>34</v>
      </c>
      <c r="J10" s="54"/>
    </row>
    <row r="11" spans="1:10" x14ac:dyDescent="0.2">
      <c r="A11" s="40"/>
      <c r="B11" s="4" t="s">
        <v>69</v>
      </c>
      <c r="C11" s="4">
        <v>4</v>
      </c>
      <c r="D11" s="4" t="s">
        <v>70</v>
      </c>
      <c r="E11" s="4">
        <v>73</v>
      </c>
      <c r="F11" s="4" t="s">
        <v>71</v>
      </c>
      <c r="G11" s="4">
        <v>10</v>
      </c>
      <c r="H11" s="4" t="s">
        <v>13</v>
      </c>
      <c r="I11" s="4">
        <v>17</v>
      </c>
      <c r="J11" s="54"/>
    </row>
    <row r="12" spans="1:10" x14ac:dyDescent="0.2">
      <c r="A12" s="40"/>
      <c r="B12" s="4" t="s">
        <v>72</v>
      </c>
      <c r="C12" s="4">
        <v>2</v>
      </c>
      <c r="D12" s="4" t="s">
        <v>73</v>
      </c>
      <c r="E12" s="4">
        <v>52</v>
      </c>
      <c r="F12" s="4" t="s">
        <v>74</v>
      </c>
      <c r="G12" s="4">
        <v>5</v>
      </c>
      <c r="H12" s="4" t="s">
        <v>1</v>
      </c>
      <c r="I12" s="4">
        <v>13</v>
      </c>
      <c r="J12" s="54"/>
    </row>
    <row r="13" spans="1:10" x14ac:dyDescent="0.2">
      <c r="A13" s="40"/>
      <c r="B13" s="4" t="s">
        <v>75</v>
      </c>
      <c r="C13" s="4">
        <v>3</v>
      </c>
      <c r="D13" s="4" t="s">
        <v>76</v>
      </c>
      <c r="E13" s="4">
        <v>69</v>
      </c>
      <c r="F13" s="4" t="s">
        <v>77</v>
      </c>
      <c r="G13" s="4">
        <v>26</v>
      </c>
      <c r="H13" s="4" t="s">
        <v>2</v>
      </c>
      <c r="I13" s="4">
        <v>24</v>
      </c>
      <c r="J13" s="54"/>
    </row>
    <row r="14" spans="1:10" ht="12.75" thickBot="1" x14ac:dyDescent="0.25">
      <c r="A14" s="40"/>
      <c r="B14" s="6" t="s">
        <v>39</v>
      </c>
      <c r="C14" s="6">
        <f>SUM(C6:C13)</f>
        <v>60</v>
      </c>
      <c r="D14" s="6"/>
      <c r="E14" s="6">
        <f>SUM(E6:E13)</f>
        <v>1798</v>
      </c>
      <c r="F14" s="6"/>
      <c r="G14" s="6">
        <f>SUM(G6:G13)</f>
        <v>416</v>
      </c>
      <c r="H14" s="6"/>
      <c r="I14" s="6">
        <f>SUM(I6:I13)</f>
        <v>544</v>
      </c>
      <c r="J14" s="7">
        <f>C14+E14+G14+I14</f>
        <v>2818</v>
      </c>
    </row>
    <row r="15" spans="1:10" ht="12" customHeight="1" x14ac:dyDescent="0.2">
      <c r="A15" s="39" t="s">
        <v>42</v>
      </c>
      <c r="B15" s="4" t="s">
        <v>78</v>
      </c>
      <c r="C15" s="4">
        <v>1</v>
      </c>
      <c r="D15" s="4" t="s">
        <v>0</v>
      </c>
      <c r="E15" s="4">
        <v>203</v>
      </c>
      <c r="F15" s="4" t="s">
        <v>79</v>
      </c>
      <c r="G15" s="4">
        <v>47</v>
      </c>
      <c r="H15" s="4" t="s">
        <v>4</v>
      </c>
      <c r="I15" s="4">
        <v>39</v>
      </c>
      <c r="J15" s="54"/>
    </row>
    <row r="16" spans="1:10" x14ac:dyDescent="0.2">
      <c r="A16" s="40"/>
      <c r="B16" s="4" t="s">
        <v>80</v>
      </c>
      <c r="C16" s="4">
        <v>1</v>
      </c>
      <c r="D16" s="4" t="s">
        <v>81</v>
      </c>
      <c r="E16" s="4">
        <v>148</v>
      </c>
      <c r="F16" s="4" t="s">
        <v>82</v>
      </c>
      <c r="G16" s="4">
        <v>34</v>
      </c>
      <c r="H16" s="4" t="s">
        <v>15</v>
      </c>
      <c r="I16" s="4">
        <v>36</v>
      </c>
      <c r="J16" s="54"/>
    </row>
    <row r="17" spans="1:10" x14ac:dyDescent="0.2">
      <c r="A17" s="40"/>
      <c r="B17" s="4" t="s">
        <v>83</v>
      </c>
      <c r="C17" s="4">
        <v>28</v>
      </c>
      <c r="D17" s="4" t="s">
        <v>84</v>
      </c>
      <c r="E17" s="4">
        <v>497</v>
      </c>
      <c r="F17" s="4" t="s">
        <v>85</v>
      </c>
      <c r="G17" s="4">
        <v>97</v>
      </c>
      <c r="H17" s="4" t="s">
        <v>16</v>
      </c>
      <c r="I17" s="4">
        <v>93</v>
      </c>
      <c r="J17" s="54"/>
    </row>
    <row r="18" spans="1:10" x14ac:dyDescent="0.2">
      <c r="A18" s="40"/>
      <c r="B18" s="4" t="s">
        <v>86</v>
      </c>
      <c r="C18" s="4">
        <v>7</v>
      </c>
      <c r="D18" s="4" t="s">
        <v>87</v>
      </c>
      <c r="E18" s="4">
        <v>292</v>
      </c>
      <c r="F18" s="4" t="s">
        <v>88</v>
      </c>
      <c r="G18" s="4">
        <v>47</v>
      </c>
      <c r="H18" s="4" t="s">
        <v>17</v>
      </c>
      <c r="I18" s="4">
        <v>62</v>
      </c>
      <c r="J18" s="54"/>
    </row>
    <row r="19" spans="1:10" x14ac:dyDescent="0.2">
      <c r="A19" s="40"/>
      <c r="B19" s="4" t="s">
        <v>89</v>
      </c>
      <c r="C19" s="4">
        <v>5</v>
      </c>
      <c r="D19" s="4" t="s">
        <v>90</v>
      </c>
      <c r="E19" s="4">
        <v>132</v>
      </c>
      <c r="F19" s="4" t="s">
        <v>91</v>
      </c>
      <c r="G19" s="4">
        <v>28</v>
      </c>
      <c r="H19" s="4" t="s">
        <v>18</v>
      </c>
      <c r="I19" s="4">
        <v>32</v>
      </c>
      <c r="J19" s="54"/>
    </row>
    <row r="20" spans="1:10" x14ac:dyDescent="0.2">
      <c r="A20" s="40"/>
      <c r="B20" s="4" t="s">
        <v>92</v>
      </c>
      <c r="C20" s="4">
        <v>2</v>
      </c>
      <c r="D20" s="4" t="s">
        <v>93</v>
      </c>
      <c r="E20" s="4">
        <v>69</v>
      </c>
      <c r="F20" s="4" t="s">
        <v>94</v>
      </c>
      <c r="G20" s="4">
        <v>7</v>
      </c>
      <c r="H20" s="4" t="s">
        <v>19</v>
      </c>
      <c r="I20" s="4">
        <v>13</v>
      </c>
      <c r="J20" s="54"/>
    </row>
    <row r="21" spans="1:10" x14ac:dyDescent="0.2">
      <c r="A21" s="40"/>
      <c r="B21" s="4" t="s">
        <v>95</v>
      </c>
      <c r="C21" s="4">
        <v>4</v>
      </c>
      <c r="D21" s="4" t="s">
        <v>96</v>
      </c>
      <c r="E21" s="4">
        <v>35</v>
      </c>
      <c r="F21" s="4" t="s">
        <v>97</v>
      </c>
      <c r="G21" s="4">
        <v>10</v>
      </c>
      <c r="H21" s="4" t="s">
        <v>20</v>
      </c>
      <c r="I21" s="4">
        <v>7</v>
      </c>
      <c r="J21" s="54"/>
    </row>
    <row r="22" spans="1:10" x14ac:dyDescent="0.2">
      <c r="A22" s="40"/>
      <c r="B22" s="4" t="s">
        <v>98</v>
      </c>
      <c r="C22" s="4">
        <v>1</v>
      </c>
      <c r="D22" s="4" t="s">
        <v>99</v>
      </c>
      <c r="E22" s="4">
        <v>24</v>
      </c>
      <c r="F22" s="4" t="s">
        <v>100</v>
      </c>
      <c r="G22" s="4">
        <v>5</v>
      </c>
      <c r="H22" s="4" t="s">
        <v>5</v>
      </c>
      <c r="I22" s="4">
        <v>9</v>
      </c>
      <c r="J22" s="54"/>
    </row>
    <row r="23" spans="1:10" ht="12.75" thickBot="1" x14ac:dyDescent="0.25">
      <c r="A23" s="40"/>
      <c r="B23" s="6" t="s">
        <v>39</v>
      </c>
      <c r="C23" s="6">
        <f>SUM(C15:C22)</f>
        <v>49</v>
      </c>
      <c r="D23" s="6"/>
      <c r="E23" s="6">
        <f>SUM(E15:E22)</f>
        <v>1400</v>
      </c>
      <c r="F23" s="6"/>
      <c r="G23" s="6">
        <f>SUM(G15:G22)</f>
        <v>275</v>
      </c>
      <c r="H23" s="6"/>
      <c r="I23" s="6">
        <f>SUM(I15:I22)</f>
        <v>291</v>
      </c>
      <c r="J23" s="7">
        <f>C23+E23+G23+I23</f>
        <v>2015</v>
      </c>
    </row>
    <row r="24" spans="1:10" ht="12" customHeight="1" x14ac:dyDescent="0.2">
      <c r="A24" s="39" t="s">
        <v>43</v>
      </c>
      <c r="B24" s="4" t="s">
        <v>101</v>
      </c>
      <c r="C24" s="4">
        <v>0</v>
      </c>
      <c r="D24" s="4" t="s">
        <v>102</v>
      </c>
      <c r="E24" s="4">
        <v>77</v>
      </c>
      <c r="F24" s="4" t="s">
        <v>103</v>
      </c>
      <c r="G24" s="4">
        <v>18</v>
      </c>
      <c r="H24" s="4" t="s">
        <v>6</v>
      </c>
      <c r="I24" s="4">
        <v>15</v>
      </c>
      <c r="J24" s="54"/>
    </row>
    <row r="25" spans="1:10" x14ac:dyDescent="0.2">
      <c r="A25" s="40"/>
      <c r="B25" s="4" t="s">
        <v>104</v>
      </c>
      <c r="C25" s="4">
        <v>0</v>
      </c>
      <c r="D25" s="4" t="s">
        <v>105</v>
      </c>
      <c r="E25" s="4">
        <v>51</v>
      </c>
      <c r="F25" s="4" t="s">
        <v>106</v>
      </c>
      <c r="G25" s="4">
        <v>12</v>
      </c>
      <c r="H25" s="4" t="s">
        <v>21</v>
      </c>
      <c r="I25" s="4">
        <v>16</v>
      </c>
      <c r="J25" s="54"/>
    </row>
    <row r="26" spans="1:10" x14ac:dyDescent="0.2">
      <c r="A26" s="40"/>
      <c r="B26" s="4" t="s">
        <v>107</v>
      </c>
      <c r="C26" s="4">
        <v>0</v>
      </c>
      <c r="D26" s="4" t="s">
        <v>108</v>
      </c>
      <c r="E26" s="4">
        <v>182</v>
      </c>
      <c r="F26" s="4" t="s">
        <v>109</v>
      </c>
      <c r="G26" s="4">
        <v>35</v>
      </c>
      <c r="H26" s="4" t="s">
        <v>22</v>
      </c>
      <c r="I26" s="4">
        <v>50</v>
      </c>
      <c r="J26" s="54"/>
    </row>
    <row r="27" spans="1:10" x14ac:dyDescent="0.2">
      <c r="A27" s="40"/>
      <c r="B27" s="4" t="s">
        <v>110</v>
      </c>
      <c r="C27" s="4">
        <v>2</v>
      </c>
      <c r="D27" s="4" t="s">
        <v>111</v>
      </c>
      <c r="E27" s="4">
        <v>112</v>
      </c>
      <c r="F27" s="4" t="s">
        <v>112</v>
      </c>
      <c r="G27" s="4">
        <v>16</v>
      </c>
      <c r="H27" s="4" t="s">
        <v>23</v>
      </c>
      <c r="I27" s="4">
        <v>20</v>
      </c>
      <c r="J27" s="54"/>
    </row>
    <row r="28" spans="1:10" x14ac:dyDescent="0.2">
      <c r="A28" s="40"/>
      <c r="B28" s="4" t="s">
        <v>113</v>
      </c>
      <c r="C28" s="4">
        <v>0</v>
      </c>
      <c r="D28" s="4" t="s">
        <v>114</v>
      </c>
      <c r="E28" s="4">
        <v>47</v>
      </c>
      <c r="F28" s="4" t="s">
        <v>115</v>
      </c>
      <c r="G28" s="4">
        <v>11</v>
      </c>
      <c r="H28" s="4" t="s">
        <v>24</v>
      </c>
      <c r="I28" s="4">
        <v>15</v>
      </c>
      <c r="J28" s="54"/>
    </row>
    <row r="29" spans="1:10" x14ac:dyDescent="0.2">
      <c r="A29" s="40"/>
      <c r="B29" s="4" t="s">
        <v>116</v>
      </c>
      <c r="C29" s="4">
        <v>0</v>
      </c>
      <c r="D29" s="4" t="s">
        <v>117</v>
      </c>
      <c r="E29" s="4">
        <v>18</v>
      </c>
      <c r="F29" s="4" t="s">
        <v>118</v>
      </c>
      <c r="G29" s="4">
        <v>1</v>
      </c>
      <c r="H29" s="4" t="s">
        <v>25</v>
      </c>
      <c r="I29" s="4">
        <v>1</v>
      </c>
      <c r="J29" s="54"/>
    </row>
    <row r="30" spans="1:10" x14ac:dyDescent="0.2">
      <c r="A30" s="40"/>
      <c r="B30" s="4" t="s">
        <v>119</v>
      </c>
      <c r="C30" s="4">
        <v>0</v>
      </c>
      <c r="D30" s="4" t="s">
        <v>120</v>
      </c>
      <c r="E30" s="4">
        <v>11</v>
      </c>
      <c r="F30" s="4" t="s">
        <v>121</v>
      </c>
      <c r="G30" s="4">
        <v>1</v>
      </c>
      <c r="H30" s="4" t="s">
        <v>26</v>
      </c>
      <c r="I30" s="4">
        <v>2</v>
      </c>
      <c r="J30" s="54"/>
    </row>
    <row r="31" spans="1:10" x14ac:dyDescent="0.2">
      <c r="A31" s="40"/>
      <c r="B31" s="4" t="s">
        <v>122</v>
      </c>
      <c r="C31" s="4">
        <v>0</v>
      </c>
      <c r="D31" s="4" t="s">
        <v>123</v>
      </c>
      <c r="E31" s="4">
        <v>2</v>
      </c>
      <c r="F31" s="4" t="s">
        <v>124</v>
      </c>
      <c r="G31" s="4">
        <v>0</v>
      </c>
      <c r="H31" s="4" t="s">
        <v>7</v>
      </c>
      <c r="I31" s="4">
        <v>0</v>
      </c>
      <c r="J31" s="54"/>
    </row>
    <row r="32" spans="1:10" ht="12.75" thickBot="1" x14ac:dyDescent="0.25">
      <c r="A32" s="40"/>
      <c r="B32" s="6" t="s">
        <v>39</v>
      </c>
      <c r="C32" s="6">
        <f>SUM(C24:C31)</f>
        <v>2</v>
      </c>
      <c r="D32" s="6"/>
      <c r="E32" s="6">
        <f>SUM(E24:E31)</f>
        <v>500</v>
      </c>
      <c r="F32" s="6"/>
      <c r="G32" s="6">
        <f>SUM(G24:G31)</f>
        <v>94</v>
      </c>
      <c r="H32" s="6"/>
      <c r="I32" s="6">
        <f>SUM(I24:I31)</f>
        <v>119</v>
      </c>
      <c r="J32" s="7">
        <f>C32+E32+G32+I32</f>
        <v>715</v>
      </c>
    </row>
    <row r="33" spans="1:10" ht="12" customHeight="1" x14ac:dyDescent="0.2">
      <c r="A33" s="39" t="s">
        <v>44</v>
      </c>
      <c r="B33" s="4" t="s">
        <v>0</v>
      </c>
      <c r="C33" s="4">
        <v>0</v>
      </c>
      <c r="D33" s="4" t="s">
        <v>125</v>
      </c>
      <c r="E33" s="4">
        <v>38</v>
      </c>
      <c r="F33" s="4" t="s">
        <v>126</v>
      </c>
      <c r="G33" s="4">
        <v>2</v>
      </c>
      <c r="H33" s="4" t="s">
        <v>8</v>
      </c>
      <c r="I33" s="4">
        <v>9</v>
      </c>
      <c r="J33" s="54"/>
    </row>
    <row r="34" spans="1:10" x14ac:dyDescent="0.2">
      <c r="A34" s="40"/>
      <c r="B34" s="4" t="s">
        <v>14</v>
      </c>
      <c r="C34" s="4">
        <v>0</v>
      </c>
      <c r="D34" s="4" t="s">
        <v>127</v>
      </c>
      <c r="E34" s="4">
        <v>22</v>
      </c>
      <c r="F34" s="4" t="s">
        <v>128</v>
      </c>
      <c r="G34" s="4">
        <v>5</v>
      </c>
      <c r="H34" s="4" t="s">
        <v>27</v>
      </c>
      <c r="I34" s="4">
        <v>3</v>
      </c>
      <c r="J34" s="54"/>
    </row>
    <row r="35" spans="1:10" x14ac:dyDescent="0.2">
      <c r="A35" s="40"/>
      <c r="B35" s="4" t="s">
        <v>10</v>
      </c>
      <c r="C35" s="4">
        <v>1</v>
      </c>
      <c r="D35" s="4" t="s">
        <v>129</v>
      </c>
      <c r="E35" s="4">
        <v>120</v>
      </c>
      <c r="F35" s="4" t="s">
        <v>130</v>
      </c>
      <c r="G35" s="4">
        <v>18</v>
      </c>
      <c r="H35" s="4" t="s">
        <v>28</v>
      </c>
      <c r="I35" s="4">
        <v>19</v>
      </c>
      <c r="J35" s="54"/>
    </row>
    <row r="36" spans="1:10" x14ac:dyDescent="0.2">
      <c r="A36" s="40"/>
      <c r="B36" s="4" t="s">
        <v>11</v>
      </c>
      <c r="C36" s="4">
        <v>0</v>
      </c>
      <c r="D36" s="4" t="s">
        <v>131</v>
      </c>
      <c r="E36" s="4">
        <v>57</v>
      </c>
      <c r="F36" s="4" t="s">
        <v>132</v>
      </c>
      <c r="G36" s="4">
        <v>10</v>
      </c>
      <c r="H36" s="4" t="s">
        <v>29</v>
      </c>
      <c r="I36" s="4">
        <v>11</v>
      </c>
      <c r="J36" s="54"/>
    </row>
    <row r="37" spans="1:10" x14ac:dyDescent="0.2">
      <c r="A37" s="40"/>
      <c r="B37" s="4" t="s">
        <v>12</v>
      </c>
      <c r="C37" s="4">
        <v>1</v>
      </c>
      <c r="D37" s="4" t="s">
        <v>133</v>
      </c>
      <c r="E37" s="4">
        <v>22</v>
      </c>
      <c r="F37" s="4" t="s">
        <v>134</v>
      </c>
      <c r="G37" s="4">
        <v>3</v>
      </c>
      <c r="H37" s="4" t="s">
        <v>30</v>
      </c>
      <c r="I37" s="4">
        <v>9</v>
      </c>
      <c r="J37" s="54"/>
    </row>
    <row r="38" spans="1:10" x14ac:dyDescent="0.2">
      <c r="A38" s="40"/>
      <c r="B38" s="4" t="s">
        <v>135</v>
      </c>
      <c r="C38" s="4">
        <v>0</v>
      </c>
      <c r="D38" s="4" t="s">
        <v>136</v>
      </c>
      <c r="E38" s="4">
        <v>6</v>
      </c>
      <c r="F38" s="4" t="s">
        <v>137</v>
      </c>
      <c r="G38" s="4">
        <v>0</v>
      </c>
      <c r="H38" s="4" t="s">
        <v>31</v>
      </c>
      <c r="I38" s="4">
        <v>1</v>
      </c>
      <c r="J38" s="54"/>
    </row>
    <row r="39" spans="1:10" x14ac:dyDescent="0.2">
      <c r="A39" s="40"/>
      <c r="B39" s="4" t="s">
        <v>138</v>
      </c>
      <c r="C39" s="4">
        <v>0</v>
      </c>
      <c r="D39" s="4" t="s">
        <v>139</v>
      </c>
      <c r="E39" s="4">
        <v>5</v>
      </c>
      <c r="F39" s="4" t="s">
        <v>140</v>
      </c>
      <c r="G39" s="4">
        <v>0</v>
      </c>
      <c r="H39" s="4" t="s">
        <v>32</v>
      </c>
      <c r="I39" s="4">
        <v>0</v>
      </c>
      <c r="J39" s="54"/>
    </row>
    <row r="40" spans="1:10" x14ac:dyDescent="0.2">
      <c r="A40" s="40"/>
      <c r="B40" s="4" t="s">
        <v>2</v>
      </c>
      <c r="C40" s="4">
        <v>0</v>
      </c>
      <c r="D40" s="4" t="s">
        <v>141</v>
      </c>
      <c r="E40" s="4">
        <v>0</v>
      </c>
      <c r="F40" s="4" t="s">
        <v>142</v>
      </c>
      <c r="G40" s="4">
        <v>0</v>
      </c>
      <c r="H40" s="4" t="s">
        <v>9</v>
      </c>
      <c r="I40" s="4">
        <v>0</v>
      </c>
      <c r="J40" s="54"/>
    </row>
    <row r="41" spans="1:10" ht="12.75" thickBot="1" x14ac:dyDescent="0.25">
      <c r="A41" s="40"/>
      <c r="B41" s="30" t="s">
        <v>39</v>
      </c>
      <c r="C41" s="30">
        <f>SUM(C33:C40)</f>
        <v>2</v>
      </c>
      <c r="D41" s="30"/>
      <c r="E41" s="30">
        <f>SUM(E33:E40)</f>
        <v>270</v>
      </c>
      <c r="F41" s="30"/>
      <c r="G41" s="30">
        <f>SUM(G33:G40)</f>
        <v>38</v>
      </c>
      <c r="H41" s="30"/>
      <c r="I41" s="30">
        <f>SUM(I33:I40)</f>
        <v>52</v>
      </c>
      <c r="J41" s="31">
        <f>C41+E41+G41+I41</f>
        <v>362</v>
      </c>
    </row>
    <row r="42" spans="1:10" ht="12.75" thickBot="1" x14ac:dyDescent="0.25">
      <c r="A42" s="25" t="s">
        <v>39</v>
      </c>
      <c r="B42" s="26"/>
      <c r="C42" s="27">
        <f>C14+C23+C32+C41</f>
        <v>113</v>
      </c>
      <c r="D42" s="27"/>
      <c r="E42" s="27">
        <f>E14+E23+E32+E41</f>
        <v>3968</v>
      </c>
      <c r="F42" s="27"/>
      <c r="G42" s="27">
        <f>G14+G23+G32+G41</f>
        <v>823</v>
      </c>
      <c r="H42" s="27"/>
      <c r="I42" s="27">
        <f>I14+I23+I32+I41</f>
        <v>1006</v>
      </c>
      <c r="J42" s="28">
        <f>C42+E42+G42+I42</f>
        <v>5910</v>
      </c>
    </row>
    <row r="43" spans="1:10" x14ac:dyDescent="0.2">
      <c r="A43" s="19"/>
      <c r="B43" s="32"/>
      <c r="C43" s="19"/>
      <c r="D43" s="19"/>
      <c r="E43" s="19"/>
      <c r="F43" s="19"/>
      <c r="G43" s="19"/>
      <c r="H43" s="19"/>
      <c r="I43" s="19"/>
      <c r="J43" s="19"/>
    </row>
    <row r="44" spans="1:10" x14ac:dyDescent="0.2">
      <c r="A44" s="29" t="s">
        <v>147</v>
      </c>
      <c r="B44" s="29"/>
      <c r="C44" s="29"/>
      <c r="D44" s="29"/>
      <c r="E44" s="29"/>
      <c r="F44" s="29"/>
    </row>
    <row r="45" spans="1:10" x14ac:dyDescent="0.2">
      <c r="A45" s="13">
        <v>43077</v>
      </c>
    </row>
    <row r="46" spans="1:10" x14ac:dyDescent="0.2">
      <c r="A46" s="36" t="s">
        <v>34</v>
      </c>
      <c r="B46" s="36"/>
      <c r="C46" s="36"/>
    </row>
    <row r="47" spans="1:10" x14ac:dyDescent="0.2">
      <c r="G47" s="37" t="s">
        <v>45</v>
      </c>
      <c r="H47" s="37"/>
      <c r="I47" s="37"/>
      <c r="J47" s="37"/>
    </row>
    <row r="48" spans="1:10" x14ac:dyDescent="0.2">
      <c r="G48" s="37" t="s">
        <v>46</v>
      </c>
      <c r="H48" s="37"/>
      <c r="I48" s="37"/>
      <c r="J48" s="37"/>
    </row>
    <row r="52" spans="1:1" x14ac:dyDescent="0.2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37" zoomScaleNormal="100" workbookViewId="0">
      <selection activeCell="A46" sqref="A46"/>
    </sheetView>
  </sheetViews>
  <sheetFormatPr defaultRowHeight="12" x14ac:dyDescent="0.2"/>
  <cols>
    <col min="1" max="1" width="11.140625" style="1" customWidth="1"/>
    <col min="2" max="2" width="14.85546875" style="1" bestFit="1" customWidth="1"/>
    <col min="3" max="3" width="11.7109375" style="1" customWidth="1"/>
    <col min="4" max="4" width="11.28515625" style="1" customWidth="1"/>
    <col min="5" max="5" width="9.7109375" style="1" customWidth="1"/>
    <col min="6" max="6" width="7.7109375" style="1" bestFit="1" customWidth="1"/>
    <col min="7" max="16384" width="9.140625" style="1"/>
  </cols>
  <sheetData>
    <row r="1" spans="1:6" ht="43.5" customHeight="1" x14ac:dyDescent="0.2">
      <c r="A1" s="38" t="s">
        <v>152</v>
      </c>
      <c r="B1" s="38"/>
      <c r="C1" s="38"/>
      <c r="D1" s="38"/>
      <c r="E1" s="38"/>
      <c r="F1" s="38"/>
    </row>
    <row r="2" spans="1:6" ht="12.75" thickBot="1" x14ac:dyDescent="0.25"/>
    <row r="3" spans="1:6" x14ac:dyDescent="0.2">
      <c r="A3" s="42"/>
      <c r="B3" s="45" t="s">
        <v>40</v>
      </c>
      <c r="C3" s="48" t="s">
        <v>36</v>
      </c>
      <c r="D3" s="48"/>
      <c r="E3" s="48"/>
      <c r="F3" s="49" t="s">
        <v>39</v>
      </c>
    </row>
    <row r="4" spans="1:6" ht="12" customHeight="1" x14ac:dyDescent="0.2">
      <c r="A4" s="43"/>
      <c r="B4" s="46"/>
      <c r="C4" s="52" t="s">
        <v>47</v>
      </c>
      <c r="D4" s="52" t="s">
        <v>37</v>
      </c>
      <c r="E4" s="52" t="s">
        <v>38</v>
      </c>
      <c r="F4" s="50"/>
    </row>
    <row r="5" spans="1:6" ht="30" customHeight="1" thickBot="1" x14ac:dyDescent="0.25">
      <c r="A5" s="44"/>
      <c r="B5" s="47"/>
      <c r="C5" s="53"/>
      <c r="D5" s="53"/>
      <c r="E5" s="53"/>
      <c r="F5" s="51"/>
    </row>
    <row r="6" spans="1:6" ht="12" customHeight="1" x14ac:dyDescent="0.2">
      <c r="A6" s="39" t="s">
        <v>41</v>
      </c>
      <c r="B6" s="16" t="s">
        <v>0</v>
      </c>
      <c r="C6" s="16">
        <f>15523+26</f>
        <v>15549</v>
      </c>
      <c r="D6" s="16">
        <v>3976</v>
      </c>
      <c r="E6" s="16">
        <v>386</v>
      </c>
      <c r="F6" s="17">
        <f t="shared" ref="F6:F42" si="0">SUM(C6:E6)</f>
        <v>19911</v>
      </c>
    </row>
    <row r="7" spans="1:6" x14ac:dyDescent="0.2">
      <c r="A7" s="40"/>
      <c r="B7" s="4" t="s">
        <v>14</v>
      </c>
      <c r="C7" s="4">
        <f>14355+21</f>
        <v>14376</v>
      </c>
      <c r="D7" s="4">
        <f>5218+88</f>
        <v>5306</v>
      </c>
      <c r="E7" s="4">
        <v>15</v>
      </c>
      <c r="F7" s="5">
        <f t="shared" si="0"/>
        <v>19697</v>
      </c>
    </row>
    <row r="8" spans="1:6" x14ac:dyDescent="0.2">
      <c r="A8" s="40"/>
      <c r="B8" s="4" t="s">
        <v>10</v>
      </c>
      <c r="C8" s="4">
        <f>18091+169</f>
        <v>18260</v>
      </c>
      <c r="D8" s="4">
        <f>14472+71</f>
        <v>14543</v>
      </c>
      <c r="E8" s="4">
        <v>46</v>
      </c>
      <c r="F8" s="5">
        <f t="shared" si="0"/>
        <v>32849</v>
      </c>
    </row>
    <row r="9" spans="1:6" x14ac:dyDescent="0.2">
      <c r="A9" s="40"/>
      <c r="B9" s="4" t="s">
        <v>11</v>
      </c>
      <c r="C9" s="4">
        <f>9482+152</f>
        <v>9634</v>
      </c>
      <c r="D9" s="4">
        <f>3313+64</f>
        <v>3377</v>
      </c>
      <c r="E9" s="4">
        <v>34</v>
      </c>
      <c r="F9" s="5">
        <f t="shared" si="0"/>
        <v>13045</v>
      </c>
    </row>
    <row r="10" spans="1:6" x14ac:dyDescent="0.2">
      <c r="A10" s="40"/>
      <c r="B10" s="4" t="s">
        <v>12</v>
      </c>
      <c r="C10" s="4">
        <f>6009+80</f>
        <v>6089</v>
      </c>
      <c r="D10" s="4">
        <f>1179+23</f>
        <v>1202</v>
      </c>
      <c r="E10" s="4">
        <v>14</v>
      </c>
      <c r="F10" s="5">
        <f t="shared" si="0"/>
        <v>7305</v>
      </c>
    </row>
    <row r="11" spans="1:6" x14ac:dyDescent="0.2">
      <c r="A11" s="40"/>
      <c r="B11" s="4" t="s">
        <v>13</v>
      </c>
      <c r="C11" s="4">
        <f>4892+38</f>
        <v>4930</v>
      </c>
      <c r="D11" s="4">
        <f>377+3</f>
        <v>380</v>
      </c>
      <c r="E11" s="4">
        <v>9</v>
      </c>
      <c r="F11" s="5">
        <f t="shared" si="0"/>
        <v>5319</v>
      </c>
    </row>
    <row r="12" spans="1:6" x14ac:dyDescent="0.2">
      <c r="A12" s="40"/>
      <c r="B12" s="4" t="s">
        <v>1</v>
      </c>
      <c r="C12" s="4">
        <f>3493+16</f>
        <v>3509</v>
      </c>
      <c r="D12" s="4">
        <f>61+10</f>
        <v>71</v>
      </c>
      <c r="E12" s="4">
        <v>3</v>
      </c>
      <c r="F12" s="5">
        <f t="shared" si="0"/>
        <v>3583</v>
      </c>
    </row>
    <row r="13" spans="1:6" x14ac:dyDescent="0.2">
      <c r="A13" s="40"/>
      <c r="B13" s="4" t="s">
        <v>2</v>
      </c>
      <c r="C13" s="4">
        <f>3723+3</f>
        <v>3726</v>
      </c>
      <c r="D13" s="4">
        <f>9+4</f>
        <v>13</v>
      </c>
      <c r="E13" s="4">
        <v>3</v>
      </c>
      <c r="F13" s="5">
        <f t="shared" si="0"/>
        <v>3742</v>
      </c>
    </row>
    <row r="14" spans="1:6" x14ac:dyDescent="0.2">
      <c r="A14" s="40"/>
      <c r="B14" s="6" t="s">
        <v>39</v>
      </c>
      <c r="C14" s="6">
        <f>SUM(C6:C13)</f>
        <v>76073</v>
      </c>
      <c r="D14" s="6">
        <f>SUM(D6:D13)</f>
        <v>28868</v>
      </c>
      <c r="E14" s="6">
        <f>SUM(E6:E13)</f>
        <v>510</v>
      </c>
      <c r="F14" s="7">
        <f t="shared" si="0"/>
        <v>105451</v>
      </c>
    </row>
    <row r="15" spans="1:6" ht="12" customHeight="1" x14ac:dyDescent="0.2">
      <c r="A15" s="40" t="s">
        <v>42</v>
      </c>
      <c r="B15" s="4" t="s">
        <v>4</v>
      </c>
      <c r="C15" s="4">
        <f>7015+61</f>
        <v>7076</v>
      </c>
      <c r="D15" s="4">
        <v>141</v>
      </c>
      <c r="E15" s="4">
        <v>203</v>
      </c>
      <c r="F15" s="5">
        <f t="shared" si="0"/>
        <v>7420</v>
      </c>
    </row>
    <row r="16" spans="1:6" x14ac:dyDescent="0.2">
      <c r="A16" s="40"/>
      <c r="B16" s="4" t="s">
        <v>15</v>
      </c>
      <c r="C16" s="4">
        <f>3962+70</f>
        <v>4032</v>
      </c>
      <c r="D16" s="4">
        <v>112</v>
      </c>
      <c r="E16" s="4">
        <v>14</v>
      </c>
      <c r="F16" s="5">
        <f t="shared" si="0"/>
        <v>4158</v>
      </c>
    </row>
    <row r="17" spans="1:6" x14ac:dyDescent="0.2">
      <c r="A17" s="40"/>
      <c r="B17" s="4" t="s">
        <v>16</v>
      </c>
      <c r="C17" s="4">
        <f>7502+129</f>
        <v>7631</v>
      </c>
      <c r="D17" s="4">
        <f>359+7</f>
        <v>366</v>
      </c>
      <c r="E17" s="4">
        <v>38</v>
      </c>
      <c r="F17" s="5">
        <f t="shared" si="0"/>
        <v>8035</v>
      </c>
    </row>
    <row r="18" spans="1:6" x14ac:dyDescent="0.2">
      <c r="A18" s="40"/>
      <c r="B18" s="4" t="s">
        <v>17</v>
      </c>
      <c r="C18" s="4">
        <f>4390+75</f>
        <v>4465</v>
      </c>
      <c r="D18" s="4">
        <f>128+3</f>
        <v>131</v>
      </c>
      <c r="E18" s="4">
        <v>22</v>
      </c>
      <c r="F18" s="5">
        <f t="shared" si="0"/>
        <v>4618</v>
      </c>
    </row>
    <row r="19" spans="1:6" x14ac:dyDescent="0.2">
      <c r="A19" s="40"/>
      <c r="B19" s="4" t="s">
        <v>18</v>
      </c>
      <c r="C19" s="4">
        <f>3091+56</f>
        <v>3147</v>
      </c>
      <c r="D19" s="4">
        <f>53+2</f>
        <v>55</v>
      </c>
      <c r="E19" s="4">
        <v>14</v>
      </c>
      <c r="F19" s="5">
        <f t="shared" si="0"/>
        <v>3216</v>
      </c>
    </row>
    <row r="20" spans="1:6" x14ac:dyDescent="0.2">
      <c r="A20" s="40"/>
      <c r="B20" s="4" t="s">
        <v>19</v>
      </c>
      <c r="C20" s="4">
        <f>1961+19</f>
        <v>1980</v>
      </c>
      <c r="D20" s="4">
        <f>14+2</f>
        <v>16</v>
      </c>
      <c r="E20" s="4">
        <v>2</v>
      </c>
      <c r="F20" s="5">
        <f t="shared" si="0"/>
        <v>1998</v>
      </c>
    </row>
    <row r="21" spans="1:6" x14ac:dyDescent="0.2">
      <c r="A21" s="40"/>
      <c r="B21" s="4" t="s">
        <v>20</v>
      </c>
      <c r="C21" s="4">
        <f>1296+1</f>
        <v>1297</v>
      </c>
      <c r="D21" s="4">
        <v>1</v>
      </c>
      <c r="E21" s="4">
        <v>3</v>
      </c>
      <c r="F21" s="5">
        <f t="shared" si="0"/>
        <v>1301</v>
      </c>
    </row>
    <row r="22" spans="1:6" x14ac:dyDescent="0.2">
      <c r="A22" s="40"/>
      <c r="B22" s="4" t="s">
        <v>5</v>
      </c>
      <c r="C22" s="4">
        <v>263</v>
      </c>
      <c r="D22" s="4">
        <v>0</v>
      </c>
      <c r="E22" s="4">
        <v>0</v>
      </c>
      <c r="F22" s="5">
        <f t="shared" si="0"/>
        <v>263</v>
      </c>
    </row>
    <row r="23" spans="1:6" x14ac:dyDescent="0.2">
      <c r="A23" s="40"/>
      <c r="B23" s="6" t="s">
        <v>39</v>
      </c>
      <c r="C23" s="6">
        <f>SUM(C15:C22)</f>
        <v>29891</v>
      </c>
      <c r="D23" s="6">
        <f>SUM(D15:D22)</f>
        <v>822</v>
      </c>
      <c r="E23" s="6">
        <f>SUM(E15:E22)</f>
        <v>296</v>
      </c>
      <c r="F23" s="7">
        <f t="shared" si="0"/>
        <v>31009</v>
      </c>
    </row>
    <row r="24" spans="1:6" ht="12" customHeight="1" x14ac:dyDescent="0.2">
      <c r="A24" s="40" t="s">
        <v>43</v>
      </c>
      <c r="B24" s="4" t="s">
        <v>6</v>
      </c>
      <c r="C24" s="4">
        <v>134</v>
      </c>
      <c r="D24" s="4">
        <v>52</v>
      </c>
      <c r="E24" s="4">
        <v>54</v>
      </c>
      <c r="F24" s="5">
        <f t="shared" si="0"/>
        <v>240</v>
      </c>
    </row>
    <row r="25" spans="1:6" x14ac:dyDescent="0.2">
      <c r="A25" s="40"/>
      <c r="B25" s="4" t="s">
        <v>21</v>
      </c>
      <c r="C25" s="4">
        <v>69</v>
      </c>
      <c r="D25" s="4">
        <v>25</v>
      </c>
      <c r="E25" s="4">
        <v>6</v>
      </c>
      <c r="F25" s="5">
        <f t="shared" si="0"/>
        <v>100</v>
      </c>
    </row>
    <row r="26" spans="1:6" x14ac:dyDescent="0.2">
      <c r="A26" s="40"/>
      <c r="B26" s="4" t="s">
        <v>22</v>
      </c>
      <c r="C26" s="4">
        <f>241+4</f>
        <v>245</v>
      </c>
      <c r="D26" s="4">
        <f>116+1</f>
        <v>117</v>
      </c>
      <c r="E26" s="4">
        <v>18</v>
      </c>
      <c r="F26" s="5">
        <f t="shared" si="0"/>
        <v>380</v>
      </c>
    </row>
    <row r="27" spans="1:6" x14ac:dyDescent="0.2">
      <c r="A27" s="40"/>
      <c r="B27" s="4" t="s">
        <v>23</v>
      </c>
      <c r="C27" s="4">
        <f>141+1</f>
        <v>142</v>
      </c>
      <c r="D27" s="4">
        <f>62+2</f>
        <v>64</v>
      </c>
      <c r="E27" s="4">
        <v>4</v>
      </c>
      <c r="F27" s="5">
        <f t="shared" si="0"/>
        <v>210</v>
      </c>
    </row>
    <row r="28" spans="1:6" x14ac:dyDescent="0.2">
      <c r="A28" s="40"/>
      <c r="B28" s="4" t="s">
        <v>24</v>
      </c>
      <c r="C28" s="4">
        <v>116</v>
      </c>
      <c r="D28" s="4">
        <f>36+1</f>
        <v>37</v>
      </c>
      <c r="E28" s="4">
        <v>1</v>
      </c>
      <c r="F28" s="5">
        <f t="shared" si="0"/>
        <v>154</v>
      </c>
    </row>
    <row r="29" spans="1:6" x14ac:dyDescent="0.2">
      <c r="A29" s="40"/>
      <c r="B29" s="4" t="s">
        <v>25</v>
      </c>
      <c r="C29" s="4">
        <f>101+2</f>
        <v>103</v>
      </c>
      <c r="D29" s="4">
        <f>16+2</f>
        <v>18</v>
      </c>
      <c r="E29" s="4">
        <v>0</v>
      </c>
      <c r="F29" s="5">
        <f t="shared" si="0"/>
        <v>121</v>
      </c>
    </row>
    <row r="30" spans="1:6" x14ac:dyDescent="0.2">
      <c r="A30" s="40"/>
      <c r="B30" s="4" t="s">
        <v>26</v>
      </c>
      <c r="C30" s="4">
        <v>45</v>
      </c>
      <c r="D30" s="4">
        <v>0</v>
      </c>
      <c r="E30" s="4">
        <v>0</v>
      </c>
      <c r="F30" s="5">
        <f t="shared" si="0"/>
        <v>45</v>
      </c>
    </row>
    <row r="31" spans="1:6" x14ac:dyDescent="0.2">
      <c r="A31" s="40"/>
      <c r="B31" s="4" t="s">
        <v>7</v>
      </c>
      <c r="C31" s="4">
        <v>1</v>
      </c>
      <c r="D31" s="4">
        <v>0</v>
      </c>
      <c r="E31" s="4">
        <v>1</v>
      </c>
      <c r="F31" s="5">
        <f t="shared" si="0"/>
        <v>2</v>
      </c>
    </row>
    <row r="32" spans="1:6" x14ac:dyDescent="0.2">
      <c r="A32" s="40"/>
      <c r="B32" s="6" t="s">
        <v>39</v>
      </c>
      <c r="C32" s="6">
        <f>SUM(C24:C31)</f>
        <v>855</v>
      </c>
      <c r="D32" s="6">
        <f>SUM(D24:D31)</f>
        <v>313</v>
      </c>
      <c r="E32" s="6">
        <f>SUM(E24:E31)</f>
        <v>84</v>
      </c>
      <c r="F32" s="7">
        <f t="shared" si="0"/>
        <v>1252</v>
      </c>
    </row>
    <row r="33" spans="1:6" ht="12" customHeight="1" x14ac:dyDescent="0.2">
      <c r="A33" s="40" t="s">
        <v>44</v>
      </c>
      <c r="B33" s="4" t="s">
        <v>8</v>
      </c>
      <c r="C33" s="4">
        <v>27</v>
      </c>
      <c r="D33" s="4">
        <v>15</v>
      </c>
      <c r="E33" s="4">
        <v>39</v>
      </c>
      <c r="F33" s="5">
        <f t="shared" si="0"/>
        <v>81</v>
      </c>
    </row>
    <row r="34" spans="1:6" x14ac:dyDescent="0.2">
      <c r="A34" s="40"/>
      <c r="B34" s="4" t="s">
        <v>27</v>
      </c>
      <c r="C34" s="4">
        <v>8</v>
      </c>
      <c r="D34" s="4">
        <v>3</v>
      </c>
      <c r="E34" s="4">
        <v>2</v>
      </c>
      <c r="F34" s="5">
        <f t="shared" si="0"/>
        <v>13</v>
      </c>
    </row>
    <row r="35" spans="1:6" x14ac:dyDescent="0.2">
      <c r="A35" s="40"/>
      <c r="B35" s="4" t="s">
        <v>28</v>
      </c>
      <c r="C35" s="4">
        <v>44</v>
      </c>
      <c r="D35" s="4">
        <f>29+1</f>
        <v>30</v>
      </c>
      <c r="E35" s="4">
        <v>14</v>
      </c>
      <c r="F35" s="5">
        <f t="shared" si="0"/>
        <v>88</v>
      </c>
    </row>
    <row r="36" spans="1:6" x14ac:dyDescent="0.2">
      <c r="A36" s="40"/>
      <c r="B36" s="4" t="s">
        <v>29</v>
      </c>
      <c r="C36" s="4">
        <v>27</v>
      </c>
      <c r="D36" s="4">
        <v>23</v>
      </c>
      <c r="E36" s="4">
        <v>6</v>
      </c>
      <c r="F36" s="5">
        <f t="shared" si="0"/>
        <v>56</v>
      </c>
    </row>
    <row r="37" spans="1:6" x14ac:dyDescent="0.2">
      <c r="A37" s="40"/>
      <c r="B37" s="4" t="s">
        <v>30</v>
      </c>
      <c r="C37" s="4">
        <v>24</v>
      </c>
      <c r="D37" s="4">
        <f>6+1</f>
        <v>7</v>
      </c>
      <c r="E37" s="4">
        <v>0</v>
      </c>
      <c r="F37" s="5">
        <f t="shared" si="0"/>
        <v>31</v>
      </c>
    </row>
    <row r="38" spans="1:6" x14ac:dyDescent="0.2">
      <c r="A38" s="40"/>
      <c r="B38" s="4" t="s">
        <v>31</v>
      </c>
      <c r="C38" s="4">
        <v>13</v>
      </c>
      <c r="D38" s="4">
        <f>1+1</f>
        <v>2</v>
      </c>
      <c r="E38" s="4">
        <v>0</v>
      </c>
      <c r="F38" s="5">
        <f t="shared" si="0"/>
        <v>15</v>
      </c>
    </row>
    <row r="39" spans="1:6" x14ac:dyDescent="0.2">
      <c r="A39" s="40"/>
      <c r="B39" s="4" t="s">
        <v>32</v>
      </c>
      <c r="C39" s="4">
        <f>6+1</f>
        <v>7</v>
      </c>
      <c r="D39" s="4">
        <v>0</v>
      </c>
      <c r="E39" s="4">
        <v>0</v>
      </c>
      <c r="F39" s="5">
        <f t="shared" si="0"/>
        <v>7</v>
      </c>
    </row>
    <row r="40" spans="1:6" x14ac:dyDescent="0.2">
      <c r="A40" s="40"/>
      <c r="B40" s="4" t="s">
        <v>9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1"/>
      <c r="B41" s="8" t="s">
        <v>39</v>
      </c>
      <c r="C41" s="8">
        <f>SUM(C33:C40)</f>
        <v>150</v>
      </c>
      <c r="D41" s="8">
        <f>SUM(D33:D40)</f>
        <v>80</v>
      </c>
      <c r="E41" s="8">
        <f>SUM(E33:E40)</f>
        <v>61</v>
      </c>
      <c r="F41" s="9">
        <f t="shared" si="0"/>
        <v>291</v>
      </c>
    </row>
    <row r="42" spans="1:6" ht="12.75" thickBot="1" x14ac:dyDescent="0.25">
      <c r="A42" s="10" t="s">
        <v>39</v>
      </c>
      <c r="B42" s="11"/>
      <c r="C42" s="11">
        <f>C14+C23+C32+C41</f>
        <v>106969</v>
      </c>
      <c r="D42" s="11">
        <f>D14+D23+D32+D41</f>
        <v>30083</v>
      </c>
      <c r="E42" s="11">
        <f>E14+E23+E32+E41</f>
        <v>951</v>
      </c>
      <c r="F42" s="12">
        <f t="shared" si="0"/>
        <v>138003</v>
      </c>
    </row>
    <row r="43" spans="1:6" x14ac:dyDescent="0.2">
      <c r="A43" s="18"/>
      <c r="B43" s="19"/>
      <c r="C43" s="19"/>
      <c r="D43" s="19"/>
      <c r="E43" s="19"/>
      <c r="F43" s="19"/>
    </row>
    <row r="45" spans="1:6" ht="24" customHeight="1" x14ac:dyDescent="0.2">
      <c r="A45" s="35" t="s">
        <v>156</v>
      </c>
      <c r="B45" s="35"/>
      <c r="C45" s="35"/>
      <c r="D45" s="35"/>
      <c r="E45" s="35"/>
      <c r="F45" s="35"/>
    </row>
    <row r="46" spans="1:6" x14ac:dyDescent="0.2">
      <c r="A46" s="13">
        <v>43077</v>
      </c>
    </row>
    <row r="47" spans="1:6" x14ac:dyDescent="0.2">
      <c r="A47" s="1" t="s">
        <v>33</v>
      </c>
    </row>
    <row r="49" spans="1:7" x14ac:dyDescent="0.2">
      <c r="D49" s="37" t="s">
        <v>45</v>
      </c>
      <c r="E49" s="37"/>
      <c r="F49" s="37"/>
      <c r="G49" s="14"/>
    </row>
    <row r="50" spans="1:7" x14ac:dyDescent="0.2">
      <c r="D50" s="37" t="s">
        <v>46</v>
      </c>
      <c r="E50" s="37"/>
      <c r="F50" s="37"/>
      <c r="G50" s="14"/>
    </row>
    <row r="54" spans="1:7" x14ac:dyDescent="0.2">
      <c r="A54" s="15"/>
    </row>
  </sheetData>
  <mergeCells count="15">
    <mergeCell ref="A3:A5"/>
    <mergeCell ref="A1:F1"/>
    <mergeCell ref="B3:B5"/>
    <mergeCell ref="C3:E3"/>
    <mergeCell ref="F3:F5"/>
    <mergeCell ref="C4:C5"/>
    <mergeCell ref="D4:D5"/>
    <mergeCell ref="E4:E5"/>
    <mergeCell ref="D50:F50"/>
    <mergeCell ref="D49:F49"/>
    <mergeCell ref="A6:A14"/>
    <mergeCell ref="A15:A23"/>
    <mergeCell ref="A24:A32"/>
    <mergeCell ref="A33:A41"/>
    <mergeCell ref="A45:F45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9" zoomScaleNormal="100" workbookViewId="0">
      <selection activeCell="G49" sqref="G49"/>
    </sheetView>
  </sheetViews>
  <sheetFormatPr defaultRowHeight="12" x14ac:dyDescent="0.2"/>
  <cols>
    <col min="1" max="1" width="11.28515625" style="1" customWidth="1"/>
    <col min="2" max="2" width="14.7109375" style="1" customWidth="1"/>
    <col min="3" max="3" width="12.42578125" style="1" customWidth="1"/>
    <col min="4" max="4" width="14.5703125" style="1" customWidth="1"/>
    <col min="5" max="5" width="13.28515625" style="1" customWidth="1"/>
    <col min="6" max="6" width="14.5703125" style="1" customWidth="1"/>
    <col min="7" max="7" width="12.7109375" style="1" customWidth="1"/>
    <col min="8" max="8" width="14.8554687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6" t="s">
        <v>144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 thickBot="1" x14ac:dyDescent="0.25"/>
    <row r="3" spans="1:10" ht="12" customHeight="1" x14ac:dyDescent="0.2">
      <c r="A3" s="42"/>
      <c r="B3" s="58" t="s">
        <v>49</v>
      </c>
      <c r="C3" s="58" t="s">
        <v>50</v>
      </c>
      <c r="D3" s="58" t="s">
        <v>51</v>
      </c>
      <c r="E3" s="58" t="s">
        <v>50</v>
      </c>
      <c r="F3" s="58" t="s">
        <v>52</v>
      </c>
      <c r="G3" s="58" t="s">
        <v>50</v>
      </c>
      <c r="H3" s="58" t="s">
        <v>53</v>
      </c>
      <c r="I3" s="58" t="s">
        <v>50</v>
      </c>
      <c r="J3" s="61" t="s">
        <v>39</v>
      </c>
    </row>
    <row r="4" spans="1:10" x14ac:dyDescent="0.2">
      <c r="A4" s="43"/>
      <c r="B4" s="59"/>
      <c r="C4" s="59"/>
      <c r="D4" s="59"/>
      <c r="E4" s="59"/>
      <c r="F4" s="59"/>
      <c r="G4" s="59"/>
      <c r="H4" s="59"/>
      <c r="I4" s="59"/>
      <c r="J4" s="62"/>
    </row>
    <row r="5" spans="1:10" ht="12.75" thickBot="1" x14ac:dyDescent="0.25">
      <c r="A5" s="44"/>
      <c r="B5" s="60"/>
      <c r="C5" s="60"/>
      <c r="D5" s="60"/>
      <c r="E5" s="60"/>
      <c r="F5" s="60"/>
      <c r="G5" s="60"/>
      <c r="H5" s="60"/>
      <c r="I5" s="60"/>
      <c r="J5" s="63"/>
    </row>
    <row r="6" spans="1:10" ht="12" customHeight="1" x14ac:dyDescent="0.2">
      <c r="A6" s="39" t="s">
        <v>41</v>
      </c>
      <c r="B6" s="16" t="s">
        <v>54</v>
      </c>
      <c r="C6" s="16">
        <v>10</v>
      </c>
      <c r="D6" s="16" t="s">
        <v>55</v>
      </c>
      <c r="E6" s="16">
        <v>341</v>
      </c>
      <c r="F6" s="16" t="s">
        <v>56</v>
      </c>
      <c r="G6" s="16">
        <v>81</v>
      </c>
      <c r="H6" s="16" t="s">
        <v>0</v>
      </c>
      <c r="I6" s="16">
        <v>95</v>
      </c>
      <c r="J6" s="55"/>
    </row>
    <row r="7" spans="1:10" x14ac:dyDescent="0.2">
      <c r="A7" s="40"/>
      <c r="B7" s="4" t="s">
        <v>57</v>
      </c>
      <c r="C7" s="4">
        <v>4</v>
      </c>
      <c r="D7" s="4" t="s">
        <v>58</v>
      </c>
      <c r="E7" s="4">
        <v>331</v>
      </c>
      <c r="F7" s="4" t="s">
        <v>59</v>
      </c>
      <c r="G7" s="4">
        <v>67</v>
      </c>
      <c r="H7" s="4" t="s">
        <v>14</v>
      </c>
      <c r="I7" s="4">
        <v>100</v>
      </c>
      <c r="J7" s="54"/>
    </row>
    <row r="8" spans="1:10" x14ac:dyDescent="0.2">
      <c r="A8" s="40"/>
      <c r="B8" s="4" t="s">
        <v>60</v>
      </c>
      <c r="C8" s="4">
        <v>16</v>
      </c>
      <c r="D8" s="4" t="s">
        <v>61</v>
      </c>
      <c r="E8" s="4">
        <v>569</v>
      </c>
      <c r="F8" s="4" t="s">
        <v>62</v>
      </c>
      <c r="G8" s="4">
        <v>135</v>
      </c>
      <c r="H8" s="4" t="s">
        <v>10</v>
      </c>
      <c r="I8" s="4">
        <v>149</v>
      </c>
      <c r="J8" s="54"/>
    </row>
    <row r="9" spans="1:10" x14ac:dyDescent="0.2">
      <c r="A9" s="40"/>
      <c r="B9" s="4" t="s">
        <v>63</v>
      </c>
      <c r="C9" s="4">
        <v>10</v>
      </c>
      <c r="D9" s="4" t="s">
        <v>64</v>
      </c>
      <c r="E9" s="4">
        <v>254</v>
      </c>
      <c r="F9" s="4" t="s">
        <v>65</v>
      </c>
      <c r="G9" s="4">
        <v>60</v>
      </c>
      <c r="H9" s="4" t="s">
        <v>11</v>
      </c>
      <c r="I9" s="4">
        <v>65</v>
      </c>
      <c r="J9" s="54"/>
    </row>
    <row r="10" spans="1:10" x14ac:dyDescent="0.2">
      <c r="A10" s="40"/>
      <c r="B10" s="4" t="s">
        <v>66</v>
      </c>
      <c r="C10" s="4">
        <v>4</v>
      </c>
      <c r="D10" s="4" t="s">
        <v>67</v>
      </c>
      <c r="E10" s="4">
        <v>153</v>
      </c>
      <c r="F10" s="4" t="s">
        <v>68</v>
      </c>
      <c r="G10" s="4">
        <v>30</v>
      </c>
      <c r="H10" s="4" t="s">
        <v>12</v>
      </c>
      <c r="I10" s="4">
        <v>33</v>
      </c>
      <c r="J10" s="54"/>
    </row>
    <row r="11" spans="1:10" x14ac:dyDescent="0.2">
      <c r="A11" s="40"/>
      <c r="B11" s="4" t="s">
        <v>69</v>
      </c>
      <c r="C11" s="4">
        <v>3</v>
      </c>
      <c r="D11" s="4" t="s">
        <v>70</v>
      </c>
      <c r="E11" s="4">
        <v>77</v>
      </c>
      <c r="F11" s="4" t="s">
        <v>71</v>
      </c>
      <c r="G11" s="4">
        <v>12</v>
      </c>
      <c r="H11" s="4" t="s">
        <v>13</v>
      </c>
      <c r="I11" s="4">
        <v>22</v>
      </c>
      <c r="J11" s="54"/>
    </row>
    <row r="12" spans="1:10" x14ac:dyDescent="0.2">
      <c r="A12" s="40"/>
      <c r="B12" s="4" t="s">
        <v>72</v>
      </c>
      <c r="C12" s="4">
        <v>1</v>
      </c>
      <c r="D12" s="4" t="s">
        <v>73</v>
      </c>
      <c r="E12" s="4">
        <v>57</v>
      </c>
      <c r="F12" s="4" t="s">
        <v>74</v>
      </c>
      <c r="G12" s="4">
        <v>8</v>
      </c>
      <c r="H12" s="4" t="s">
        <v>1</v>
      </c>
      <c r="I12" s="4">
        <v>12</v>
      </c>
      <c r="J12" s="54"/>
    </row>
    <row r="13" spans="1:10" x14ac:dyDescent="0.2">
      <c r="A13" s="40"/>
      <c r="B13" s="4" t="s">
        <v>75</v>
      </c>
      <c r="C13" s="4">
        <v>3</v>
      </c>
      <c r="D13" s="4" t="s">
        <v>76</v>
      </c>
      <c r="E13" s="4">
        <v>79</v>
      </c>
      <c r="F13" s="4" t="s">
        <v>77</v>
      </c>
      <c r="G13" s="4">
        <v>24</v>
      </c>
      <c r="H13" s="4" t="s">
        <v>2</v>
      </c>
      <c r="I13" s="4">
        <v>21</v>
      </c>
      <c r="J13" s="54"/>
    </row>
    <row r="14" spans="1:10" ht="12.75" thickBot="1" x14ac:dyDescent="0.25">
      <c r="A14" s="40"/>
      <c r="B14" s="6" t="s">
        <v>39</v>
      </c>
      <c r="C14" s="6">
        <f>SUM(C6:C13)</f>
        <v>51</v>
      </c>
      <c r="D14" s="6"/>
      <c r="E14" s="6">
        <f>SUM(E6:E13)</f>
        <v>1861</v>
      </c>
      <c r="F14" s="6"/>
      <c r="G14" s="6">
        <f>SUM(G6:G13)</f>
        <v>417</v>
      </c>
      <c r="H14" s="6"/>
      <c r="I14" s="6">
        <f>SUM(I6:I13)</f>
        <v>497</v>
      </c>
      <c r="J14" s="7">
        <f>C14+E14+G14+I14</f>
        <v>2826</v>
      </c>
    </row>
    <row r="15" spans="1:10" ht="12" customHeight="1" x14ac:dyDescent="0.2">
      <c r="A15" s="39" t="s">
        <v>42</v>
      </c>
      <c r="B15" s="4" t="s">
        <v>78</v>
      </c>
      <c r="C15" s="4">
        <v>3</v>
      </c>
      <c r="D15" s="4" t="s">
        <v>0</v>
      </c>
      <c r="E15" s="4">
        <v>193</v>
      </c>
      <c r="F15" s="4" t="s">
        <v>79</v>
      </c>
      <c r="G15" s="4">
        <v>39</v>
      </c>
      <c r="H15" s="4" t="s">
        <v>4</v>
      </c>
      <c r="I15" s="4">
        <v>45</v>
      </c>
      <c r="J15" s="54"/>
    </row>
    <row r="16" spans="1:10" x14ac:dyDescent="0.2">
      <c r="A16" s="40"/>
      <c r="B16" s="4" t="s">
        <v>80</v>
      </c>
      <c r="C16" s="4">
        <v>2</v>
      </c>
      <c r="D16" s="4" t="s">
        <v>81</v>
      </c>
      <c r="E16" s="4">
        <v>133</v>
      </c>
      <c r="F16" s="4" t="s">
        <v>82</v>
      </c>
      <c r="G16" s="4">
        <v>37</v>
      </c>
      <c r="H16" s="4" t="s">
        <v>15</v>
      </c>
      <c r="I16" s="4">
        <v>32</v>
      </c>
      <c r="J16" s="54"/>
    </row>
    <row r="17" spans="1:10" x14ac:dyDescent="0.2">
      <c r="A17" s="40"/>
      <c r="B17" s="4" t="s">
        <v>83</v>
      </c>
      <c r="C17" s="4">
        <v>13</v>
      </c>
      <c r="D17" s="4" t="s">
        <v>84</v>
      </c>
      <c r="E17" s="4">
        <v>449</v>
      </c>
      <c r="F17" s="4" t="s">
        <v>85</v>
      </c>
      <c r="G17" s="4">
        <v>90</v>
      </c>
      <c r="H17" s="4" t="s">
        <v>16</v>
      </c>
      <c r="I17" s="4">
        <v>85</v>
      </c>
      <c r="J17" s="54"/>
    </row>
    <row r="18" spans="1:10" x14ac:dyDescent="0.2">
      <c r="A18" s="40"/>
      <c r="B18" s="4" t="s">
        <v>86</v>
      </c>
      <c r="C18" s="4">
        <v>6</v>
      </c>
      <c r="D18" s="4" t="s">
        <v>87</v>
      </c>
      <c r="E18" s="4">
        <v>283</v>
      </c>
      <c r="F18" s="4" t="s">
        <v>88</v>
      </c>
      <c r="G18" s="4">
        <v>54</v>
      </c>
      <c r="H18" s="4" t="s">
        <v>17</v>
      </c>
      <c r="I18" s="4">
        <v>58</v>
      </c>
      <c r="J18" s="54"/>
    </row>
    <row r="19" spans="1:10" x14ac:dyDescent="0.2">
      <c r="A19" s="40"/>
      <c r="B19" s="4" t="s">
        <v>89</v>
      </c>
      <c r="C19" s="4">
        <v>3</v>
      </c>
      <c r="D19" s="4" t="s">
        <v>90</v>
      </c>
      <c r="E19" s="4">
        <v>123</v>
      </c>
      <c r="F19" s="4" t="s">
        <v>91</v>
      </c>
      <c r="G19" s="4">
        <v>32</v>
      </c>
      <c r="H19" s="4" t="s">
        <v>18</v>
      </c>
      <c r="I19" s="4">
        <v>30</v>
      </c>
      <c r="J19" s="54"/>
    </row>
    <row r="20" spans="1:10" x14ac:dyDescent="0.2">
      <c r="A20" s="40"/>
      <c r="B20" s="4" t="s">
        <v>92</v>
      </c>
      <c r="C20" s="4">
        <v>3</v>
      </c>
      <c r="D20" s="4" t="s">
        <v>93</v>
      </c>
      <c r="E20" s="4">
        <v>64</v>
      </c>
      <c r="F20" s="4" t="s">
        <v>94</v>
      </c>
      <c r="G20" s="4">
        <v>9</v>
      </c>
      <c r="H20" s="4" t="s">
        <v>19</v>
      </c>
      <c r="I20" s="4">
        <v>14</v>
      </c>
      <c r="J20" s="54"/>
    </row>
    <row r="21" spans="1:10" x14ac:dyDescent="0.2">
      <c r="A21" s="40"/>
      <c r="B21" s="4" t="s">
        <v>95</v>
      </c>
      <c r="C21" s="4">
        <v>1</v>
      </c>
      <c r="D21" s="4" t="s">
        <v>96</v>
      </c>
      <c r="E21" s="4">
        <v>33</v>
      </c>
      <c r="F21" s="4" t="s">
        <v>97</v>
      </c>
      <c r="G21" s="4">
        <v>7</v>
      </c>
      <c r="H21" s="4" t="s">
        <v>20</v>
      </c>
      <c r="I21" s="4">
        <v>4</v>
      </c>
      <c r="J21" s="54"/>
    </row>
    <row r="22" spans="1:10" x14ac:dyDescent="0.2">
      <c r="A22" s="40"/>
      <c r="B22" s="4" t="s">
        <v>98</v>
      </c>
      <c r="C22" s="4">
        <v>0</v>
      </c>
      <c r="D22" s="4" t="s">
        <v>99</v>
      </c>
      <c r="E22" s="4">
        <v>27</v>
      </c>
      <c r="F22" s="4" t="s">
        <v>100</v>
      </c>
      <c r="G22" s="4">
        <v>2</v>
      </c>
      <c r="H22" s="4" t="s">
        <v>5</v>
      </c>
      <c r="I22" s="4">
        <v>5</v>
      </c>
      <c r="J22" s="54"/>
    </row>
    <row r="23" spans="1:10" ht="12.75" thickBot="1" x14ac:dyDescent="0.25">
      <c r="A23" s="40"/>
      <c r="B23" s="6" t="s">
        <v>39</v>
      </c>
      <c r="C23" s="6">
        <f>SUM(C15:C22)</f>
        <v>31</v>
      </c>
      <c r="D23" s="6"/>
      <c r="E23" s="6">
        <f>SUM(E15:E22)</f>
        <v>1305</v>
      </c>
      <c r="F23" s="6"/>
      <c r="G23" s="6">
        <f>SUM(G15:G22)</f>
        <v>270</v>
      </c>
      <c r="H23" s="6"/>
      <c r="I23" s="6">
        <f>SUM(I15:I22)</f>
        <v>273</v>
      </c>
      <c r="J23" s="7">
        <f>C23+E23+G23+I23</f>
        <v>1879</v>
      </c>
    </row>
    <row r="24" spans="1:10" ht="12" customHeight="1" x14ac:dyDescent="0.2">
      <c r="A24" s="39" t="s">
        <v>43</v>
      </c>
      <c r="B24" s="4" t="s">
        <v>101</v>
      </c>
      <c r="C24" s="4">
        <v>0</v>
      </c>
      <c r="D24" s="4" t="s">
        <v>102</v>
      </c>
      <c r="E24" s="4">
        <v>72</v>
      </c>
      <c r="F24" s="4" t="s">
        <v>103</v>
      </c>
      <c r="G24" s="4">
        <v>16</v>
      </c>
      <c r="H24" s="4" t="s">
        <v>6</v>
      </c>
      <c r="I24" s="4">
        <v>15</v>
      </c>
      <c r="J24" s="54"/>
    </row>
    <row r="25" spans="1:10" x14ac:dyDescent="0.2">
      <c r="A25" s="40"/>
      <c r="B25" s="4" t="s">
        <v>104</v>
      </c>
      <c r="C25" s="4">
        <v>0</v>
      </c>
      <c r="D25" s="4" t="s">
        <v>105</v>
      </c>
      <c r="E25" s="4">
        <v>47</v>
      </c>
      <c r="F25" s="4" t="s">
        <v>106</v>
      </c>
      <c r="G25" s="4">
        <v>10</v>
      </c>
      <c r="H25" s="4" t="s">
        <v>21</v>
      </c>
      <c r="I25" s="4">
        <v>13</v>
      </c>
      <c r="J25" s="54"/>
    </row>
    <row r="26" spans="1:10" x14ac:dyDescent="0.2">
      <c r="A26" s="40"/>
      <c r="B26" s="4" t="s">
        <v>107</v>
      </c>
      <c r="C26" s="4">
        <v>0</v>
      </c>
      <c r="D26" s="4" t="s">
        <v>108</v>
      </c>
      <c r="E26" s="4">
        <v>200</v>
      </c>
      <c r="F26" s="4" t="s">
        <v>109</v>
      </c>
      <c r="G26" s="4">
        <v>35</v>
      </c>
      <c r="H26" s="4" t="s">
        <v>22</v>
      </c>
      <c r="I26" s="4">
        <v>44</v>
      </c>
      <c r="J26" s="54"/>
    </row>
    <row r="27" spans="1:10" x14ac:dyDescent="0.2">
      <c r="A27" s="40"/>
      <c r="B27" s="4" t="s">
        <v>110</v>
      </c>
      <c r="C27" s="4">
        <v>2</v>
      </c>
      <c r="D27" s="4" t="s">
        <v>111</v>
      </c>
      <c r="E27" s="4">
        <v>108</v>
      </c>
      <c r="F27" s="4" t="s">
        <v>112</v>
      </c>
      <c r="G27" s="4">
        <v>17</v>
      </c>
      <c r="H27" s="4" t="s">
        <v>23</v>
      </c>
      <c r="I27" s="4">
        <v>19</v>
      </c>
      <c r="J27" s="54"/>
    </row>
    <row r="28" spans="1:10" x14ac:dyDescent="0.2">
      <c r="A28" s="40"/>
      <c r="B28" s="4" t="s">
        <v>113</v>
      </c>
      <c r="C28" s="4">
        <v>1</v>
      </c>
      <c r="D28" s="4" t="s">
        <v>114</v>
      </c>
      <c r="E28" s="4">
        <v>59</v>
      </c>
      <c r="F28" s="4" t="s">
        <v>115</v>
      </c>
      <c r="G28" s="4">
        <v>7</v>
      </c>
      <c r="H28" s="4" t="s">
        <v>24</v>
      </c>
      <c r="I28" s="4">
        <v>15</v>
      </c>
      <c r="J28" s="54"/>
    </row>
    <row r="29" spans="1:10" x14ac:dyDescent="0.2">
      <c r="A29" s="40"/>
      <c r="B29" s="4" t="s">
        <v>116</v>
      </c>
      <c r="C29" s="4">
        <v>0</v>
      </c>
      <c r="D29" s="4" t="s">
        <v>117</v>
      </c>
      <c r="E29" s="4">
        <v>20</v>
      </c>
      <c r="F29" s="4" t="s">
        <v>118</v>
      </c>
      <c r="G29" s="4">
        <v>1</v>
      </c>
      <c r="H29" s="4" t="s">
        <v>25</v>
      </c>
      <c r="I29" s="4">
        <v>5</v>
      </c>
      <c r="J29" s="54"/>
    </row>
    <row r="30" spans="1:10" x14ac:dyDescent="0.2">
      <c r="A30" s="40"/>
      <c r="B30" s="4" t="s">
        <v>119</v>
      </c>
      <c r="C30" s="4">
        <v>0</v>
      </c>
      <c r="D30" s="4" t="s">
        <v>120</v>
      </c>
      <c r="E30" s="4">
        <v>9</v>
      </c>
      <c r="F30" s="4" t="s">
        <v>121</v>
      </c>
      <c r="G30" s="4">
        <v>2</v>
      </c>
      <c r="H30" s="4" t="s">
        <v>26</v>
      </c>
      <c r="I30" s="4">
        <v>2</v>
      </c>
      <c r="J30" s="54"/>
    </row>
    <row r="31" spans="1:10" x14ac:dyDescent="0.2">
      <c r="A31" s="40"/>
      <c r="B31" s="4" t="s">
        <v>122</v>
      </c>
      <c r="C31" s="4">
        <v>0</v>
      </c>
      <c r="D31" s="4" t="s">
        <v>123</v>
      </c>
      <c r="E31" s="4">
        <v>2</v>
      </c>
      <c r="F31" s="4" t="s">
        <v>124</v>
      </c>
      <c r="G31" s="4">
        <v>0</v>
      </c>
      <c r="H31" s="4" t="s">
        <v>7</v>
      </c>
      <c r="I31" s="4">
        <v>0</v>
      </c>
      <c r="J31" s="54"/>
    </row>
    <row r="32" spans="1:10" ht="12.75" thickBot="1" x14ac:dyDescent="0.25">
      <c r="A32" s="40"/>
      <c r="B32" s="6" t="s">
        <v>39</v>
      </c>
      <c r="C32" s="6">
        <f>SUM(C24:C31)</f>
        <v>3</v>
      </c>
      <c r="D32" s="6"/>
      <c r="E32" s="6">
        <f>SUM(E24:E31)</f>
        <v>517</v>
      </c>
      <c r="F32" s="6"/>
      <c r="G32" s="6">
        <f>SUM(G24:G31)</f>
        <v>88</v>
      </c>
      <c r="H32" s="6"/>
      <c r="I32" s="6">
        <f>SUM(I24:I31)</f>
        <v>113</v>
      </c>
      <c r="J32" s="7">
        <f>C32+E32+G32+I32</f>
        <v>721</v>
      </c>
    </row>
    <row r="33" spans="1:10" ht="12" customHeight="1" x14ac:dyDescent="0.2">
      <c r="A33" s="39" t="s">
        <v>44</v>
      </c>
      <c r="B33" s="4" t="s">
        <v>0</v>
      </c>
      <c r="C33" s="4">
        <v>0</v>
      </c>
      <c r="D33" s="4" t="s">
        <v>125</v>
      </c>
      <c r="E33" s="4">
        <v>30</v>
      </c>
      <c r="F33" s="4" t="s">
        <v>126</v>
      </c>
      <c r="G33" s="4">
        <v>3</v>
      </c>
      <c r="H33" s="4" t="s">
        <v>8</v>
      </c>
      <c r="I33" s="4">
        <v>7</v>
      </c>
      <c r="J33" s="54"/>
    </row>
    <row r="34" spans="1:10" x14ac:dyDescent="0.2">
      <c r="A34" s="40"/>
      <c r="B34" s="4" t="s">
        <v>14</v>
      </c>
      <c r="C34" s="4">
        <v>0</v>
      </c>
      <c r="D34" s="4" t="s">
        <v>127</v>
      </c>
      <c r="E34" s="4">
        <v>23</v>
      </c>
      <c r="F34" s="4" t="s">
        <v>128</v>
      </c>
      <c r="G34" s="4">
        <v>3</v>
      </c>
      <c r="H34" s="4" t="s">
        <v>27</v>
      </c>
      <c r="I34" s="4">
        <v>3</v>
      </c>
      <c r="J34" s="54"/>
    </row>
    <row r="35" spans="1:10" x14ac:dyDescent="0.2">
      <c r="A35" s="40"/>
      <c r="B35" s="4" t="s">
        <v>10</v>
      </c>
      <c r="C35" s="4">
        <v>1</v>
      </c>
      <c r="D35" s="4" t="s">
        <v>129</v>
      </c>
      <c r="E35" s="4">
        <v>120</v>
      </c>
      <c r="F35" s="4" t="s">
        <v>130</v>
      </c>
      <c r="G35" s="4">
        <v>21</v>
      </c>
      <c r="H35" s="4" t="s">
        <v>28</v>
      </c>
      <c r="I35" s="4">
        <v>15</v>
      </c>
      <c r="J35" s="54"/>
    </row>
    <row r="36" spans="1:10" x14ac:dyDescent="0.2">
      <c r="A36" s="40"/>
      <c r="B36" s="4" t="s">
        <v>11</v>
      </c>
      <c r="C36" s="4">
        <v>1</v>
      </c>
      <c r="D36" s="4" t="s">
        <v>131</v>
      </c>
      <c r="E36" s="4">
        <v>51</v>
      </c>
      <c r="F36" s="4" t="s">
        <v>132</v>
      </c>
      <c r="G36" s="4">
        <v>11</v>
      </c>
      <c r="H36" s="4" t="s">
        <v>29</v>
      </c>
      <c r="I36" s="4">
        <v>11</v>
      </c>
      <c r="J36" s="54"/>
    </row>
    <row r="37" spans="1:10" x14ac:dyDescent="0.2">
      <c r="A37" s="40"/>
      <c r="B37" s="4" t="s">
        <v>12</v>
      </c>
      <c r="C37" s="4">
        <v>0</v>
      </c>
      <c r="D37" s="4" t="s">
        <v>133</v>
      </c>
      <c r="E37" s="4">
        <v>14</v>
      </c>
      <c r="F37" s="4" t="s">
        <v>134</v>
      </c>
      <c r="G37" s="4">
        <v>2</v>
      </c>
      <c r="H37" s="4" t="s">
        <v>30</v>
      </c>
      <c r="I37" s="4">
        <v>8</v>
      </c>
      <c r="J37" s="54"/>
    </row>
    <row r="38" spans="1:10" x14ac:dyDescent="0.2">
      <c r="A38" s="40"/>
      <c r="B38" s="4" t="s">
        <v>135</v>
      </c>
      <c r="C38" s="4">
        <v>0</v>
      </c>
      <c r="D38" s="4" t="s">
        <v>136</v>
      </c>
      <c r="E38" s="4">
        <v>5</v>
      </c>
      <c r="F38" s="4" t="s">
        <v>137</v>
      </c>
      <c r="G38" s="4">
        <v>0</v>
      </c>
      <c r="H38" s="4" t="s">
        <v>31</v>
      </c>
      <c r="I38" s="4">
        <v>1</v>
      </c>
      <c r="J38" s="54"/>
    </row>
    <row r="39" spans="1:10" x14ac:dyDescent="0.2">
      <c r="A39" s="40"/>
      <c r="B39" s="4" t="s">
        <v>138</v>
      </c>
      <c r="C39" s="4">
        <v>0</v>
      </c>
      <c r="D39" s="4" t="s">
        <v>139</v>
      </c>
      <c r="E39" s="4">
        <v>4</v>
      </c>
      <c r="F39" s="4" t="s">
        <v>140</v>
      </c>
      <c r="G39" s="4">
        <v>0</v>
      </c>
      <c r="H39" s="4" t="s">
        <v>32</v>
      </c>
      <c r="I39" s="4">
        <v>2</v>
      </c>
      <c r="J39" s="54"/>
    </row>
    <row r="40" spans="1:10" x14ac:dyDescent="0.2">
      <c r="A40" s="40"/>
      <c r="B40" s="4" t="s">
        <v>2</v>
      </c>
      <c r="C40" s="4">
        <v>0</v>
      </c>
      <c r="D40" s="4" t="s">
        <v>141</v>
      </c>
      <c r="E40" s="4">
        <v>0</v>
      </c>
      <c r="F40" s="4" t="s">
        <v>142</v>
      </c>
      <c r="G40" s="4">
        <v>0</v>
      </c>
      <c r="H40" s="4" t="s">
        <v>9</v>
      </c>
      <c r="I40" s="4">
        <v>0</v>
      </c>
      <c r="J40" s="54"/>
    </row>
    <row r="41" spans="1:10" ht="12.75" thickBot="1" x14ac:dyDescent="0.25">
      <c r="A41" s="40"/>
      <c r="B41" s="30" t="s">
        <v>39</v>
      </c>
      <c r="C41" s="30">
        <f>SUM(C33:C40)</f>
        <v>2</v>
      </c>
      <c r="D41" s="30"/>
      <c r="E41" s="30">
        <f>SUM(E33:E40)</f>
        <v>247</v>
      </c>
      <c r="F41" s="30"/>
      <c r="G41" s="30">
        <f>SUM(G33:G40)</f>
        <v>40</v>
      </c>
      <c r="H41" s="30"/>
      <c r="I41" s="30">
        <f>SUM(I33:I40)</f>
        <v>47</v>
      </c>
      <c r="J41" s="31">
        <f>C41+E41+G41+I41</f>
        <v>336</v>
      </c>
    </row>
    <row r="42" spans="1:10" ht="12.75" thickBot="1" x14ac:dyDescent="0.25">
      <c r="A42" s="25" t="s">
        <v>39</v>
      </c>
      <c r="B42" s="26"/>
      <c r="C42" s="27">
        <f>C14+C23+C32+C41</f>
        <v>87</v>
      </c>
      <c r="D42" s="27"/>
      <c r="E42" s="27">
        <f>E14+E23+E32+E41</f>
        <v>3930</v>
      </c>
      <c r="F42" s="27"/>
      <c r="G42" s="27">
        <f>G14+G23+G32+G41</f>
        <v>815</v>
      </c>
      <c r="H42" s="27"/>
      <c r="I42" s="27">
        <f>I14+I23+I32+I41</f>
        <v>930</v>
      </c>
      <c r="J42" s="28">
        <f>C42+E42+G42+I42</f>
        <v>5762</v>
      </c>
    </row>
    <row r="43" spans="1:10" x14ac:dyDescent="0.2">
      <c r="A43" s="19"/>
      <c r="B43" s="32"/>
      <c r="C43" s="19"/>
      <c r="D43" s="19"/>
      <c r="E43" s="19"/>
      <c r="F43" s="19"/>
      <c r="G43" s="19"/>
      <c r="H43" s="19"/>
      <c r="I43" s="19"/>
      <c r="J43" s="19"/>
    </row>
    <row r="44" spans="1:10" x14ac:dyDescent="0.2">
      <c r="A44" s="29" t="s">
        <v>145</v>
      </c>
      <c r="B44" s="29"/>
      <c r="C44" s="29"/>
      <c r="D44" s="29"/>
      <c r="E44" s="29"/>
      <c r="F44" s="29"/>
    </row>
    <row r="45" spans="1:10" x14ac:dyDescent="0.2">
      <c r="A45" s="13">
        <v>43077</v>
      </c>
    </row>
    <row r="46" spans="1:10" x14ac:dyDescent="0.2">
      <c r="A46" s="36" t="s">
        <v>33</v>
      </c>
      <c r="B46" s="36"/>
      <c r="C46" s="36"/>
    </row>
    <row r="47" spans="1:10" x14ac:dyDescent="0.2">
      <c r="G47" s="37" t="s">
        <v>45</v>
      </c>
      <c r="H47" s="37"/>
      <c r="I47" s="37"/>
      <c r="J47" s="37"/>
    </row>
    <row r="48" spans="1:10" x14ac:dyDescent="0.2">
      <c r="G48" s="37" t="s">
        <v>46</v>
      </c>
      <c r="H48" s="37"/>
      <c r="I48" s="37"/>
      <c r="J48" s="37"/>
    </row>
    <row r="52" spans="1:1" x14ac:dyDescent="0.2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A46" sqref="A46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1.28515625" style="1" customWidth="1"/>
    <col min="4" max="4" width="12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26.25" customHeight="1" x14ac:dyDescent="0.2">
      <c r="A1" s="38" t="s">
        <v>153</v>
      </c>
      <c r="B1" s="38"/>
      <c r="C1" s="38"/>
      <c r="D1" s="38"/>
      <c r="E1" s="38"/>
      <c r="F1" s="38"/>
    </row>
    <row r="2" spans="1:6" ht="12.75" thickBot="1" x14ac:dyDescent="0.25"/>
    <row r="3" spans="1:6" x14ac:dyDescent="0.2">
      <c r="A3" s="42"/>
      <c r="B3" s="45" t="s">
        <v>40</v>
      </c>
      <c r="C3" s="48" t="s">
        <v>36</v>
      </c>
      <c r="D3" s="48"/>
      <c r="E3" s="48"/>
      <c r="F3" s="49" t="s">
        <v>39</v>
      </c>
    </row>
    <row r="4" spans="1:6" ht="12" customHeight="1" x14ac:dyDescent="0.2">
      <c r="A4" s="43"/>
      <c r="B4" s="46"/>
      <c r="C4" s="52" t="s">
        <v>47</v>
      </c>
      <c r="D4" s="52" t="s">
        <v>37</v>
      </c>
      <c r="E4" s="52" t="s">
        <v>38</v>
      </c>
      <c r="F4" s="50"/>
    </row>
    <row r="5" spans="1:6" ht="31.5" customHeight="1" thickBot="1" x14ac:dyDescent="0.25">
      <c r="A5" s="44"/>
      <c r="B5" s="47"/>
      <c r="C5" s="53"/>
      <c r="D5" s="53"/>
      <c r="E5" s="53"/>
      <c r="F5" s="51"/>
    </row>
    <row r="6" spans="1:6" x14ac:dyDescent="0.2">
      <c r="A6" s="39" t="s">
        <v>41</v>
      </c>
      <c r="B6" s="2" t="s">
        <v>0</v>
      </c>
      <c r="C6" s="2">
        <f>16623+26</f>
        <v>16649</v>
      </c>
      <c r="D6" s="2">
        <v>4184</v>
      </c>
      <c r="E6" s="2">
        <v>379</v>
      </c>
      <c r="F6" s="3">
        <f t="shared" ref="F6:F42" si="0">SUM(C6:E6)</f>
        <v>21212</v>
      </c>
    </row>
    <row r="7" spans="1:6" x14ac:dyDescent="0.2">
      <c r="A7" s="40"/>
      <c r="B7" s="4" t="s">
        <v>14</v>
      </c>
      <c r="C7" s="4">
        <f>14275+18</f>
        <v>14293</v>
      </c>
      <c r="D7" s="4">
        <f>4992+83</f>
        <v>5075</v>
      </c>
      <c r="E7" s="4">
        <v>19</v>
      </c>
      <c r="F7" s="5">
        <f t="shared" si="0"/>
        <v>19387</v>
      </c>
    </row>
    <row r="8" spans="1:6" x14ac:dyDescent="0.2">
      <c r="A8" s="40"/>
      <c r="B8" s="4" t="s">
        <v>10</v>
      </c>
      <c r="C8" s="4">
        <f>18732+163</f>
        <v>18895</v>
      </c>
      <c r="D8" s="4">
        <f>14449+69</f>
        <v>14518</v>
      </c>
      <c r="E8" s="4">
        <v>46</v>
      </c>
      <c r="F8" s="5">
        <f t="shared" si="0"/>
        <v>33459</v>
      </c>
    </row>
    <row r="9" spans="1:6" x14ac:dyDescent="0.2">
      <c r="A9" s="40"/>
      <c r="B9" s="4" t="s">
        <v>11</v>
      </c>
      <c r="C9" s="4">
        <f>10063+159</f>
        <v>10222</v>
      </c>
      <c r="D9" s="4">
        <f>3562+63</f>
        <v>3625</v>
      </c>
      <c r="E9" s="4">
        <v>37</v>
      </c>
      <c r="F9" s="5">
        <f t="shared" si="0"/>
        <v>13884</v>
      </c>
    </row>
    <row r="10" spans="1:6" x14ac:dyDescent="0.2">
      <c r="A10" s="40"/>
      <c r="B10" s="4" t="s">
        <v>12</v>
      </c>
      <c r="C10" s="4">
        <f>6506+87</f>
        <v>6593</v>
      </c>
      <c r="D10" s="4">
        <f>1299+21</f>
        <v>1320</v>
      </c>
      <c r="E10" s="4">
        <v>15</v>
      </c>
      <c r="F10" s="5">
        <f t="shared" si="0"/>
        <v>7928</v>
      </c>
    </row>
    <row r="11" spans="1:6" x14ac:dyDescent="0.2">
      <c r="A11" s="40"/>
      <c r="B11" s="4" t="s">
        <v>13</v>
      </c>
      <c r="C11" s="4">
        <f>5274+41</f>
        <v>5315</v>
      </c>
      <c r="D11" s="4">
        <f>436+4</f>
        <v>440</v>
      </c>
      <c r="E11" s="4">
        <v>9</v>
      </c>
      <c r="F11" s="5">
        <f t="shared" si="0"/>
        <v>5764</v>
      </c>
    </row>
    <row r="12" spans="1:6" x14ac:dyDescent="0.2">
      <c r="A12" s="40"/>
      <c r="B12" s="4" t="s">
        <v>1</v>
      </c>
      <c r="C12" s="4">
        <f>3880+20</f>
        <v>3900</v>
      </c>
      <c r="D12" s="4">
        <f>74+11</f>
        <v>85</v>
      </c>
      <c r="E12" s="4">
        <v>3</v>
      </c>
      <c r="F12" s="5">
        <f t="shared" si="0"/>
        <v>3988</v>
      </c>
    </row>
    <row r="13" spans="1:6" x14ac:dyDescent="0.2">
      <c r="A13" s="40"/>
      <c r="B13" s="4" t="s">
        <v>2</v>
      </c>
      <c r="C13" s="4">
        <f>4325+4</f>
        <v>4329</v>
      </c>
      <c r="D13" s="4">
        <f>10+4</f>
        <v>14</v>
      </c>
      <c r="E13" s="4">
        <v>3</v>
      </c>
      <c r="F13" s="5">
        <f t="shared" si="0"/>
        <v>4346</v>
      </c>
    </row>
    <row r="14" spans="1:6" x14ac:dyDescent="0.2">
      <c r="A14" s="40"/>
      <c r="B14" s="6" t="s">
        <v>39</v>
      </c>
      <c r="C14" s="6">
        <f>SUM(C6:C13)</f>
        <v>80196</v>
      </c>
      <c r="D14" s="6">
        <f>SUM(D6:D13)</f>
        <v>29261</v>
      </c>
      <c r="E14" s="6">
        <f>SUM(E6:E13)</f>
        <v>511</v>
      </c>
      <c r="F14" s="7">
        <f t="shared" si="0"/>
        <v>109968</v>
      </c>
    </row>
    <row r="15" spans="1:6" x14ac:dyDescent="0.2">
      <c r="A15" s="40" t="s">
        <v>42</v>
      </c>
      <c r="B15" s="4" t="s">
        <v>4</v>
      </c>
      <c r="C15" s="4">
        <f>6926+62</f>
        <v>6988</v>
      </c>
      <c r="D15" s="4">
        <v>145</v>
      </c>
      <c r="E15" s="4">
        <v>192</v>
      </c>
      <c r="F15" s="5">
        <f t="shared" si="0"/>
        <v>7325</v>
      </c>
    </row>
    <row r="16" spans="1:6" x14ac:dyDescent="0.2">
      <c r="A16" s="40"/>
      <c r="B16" s="4" t="s">
        <v>15</v>
      </c>
      <c r="C16" s="4">
        <f>3796+66</f>
        <v>3862</v>
      </c>
      <c r="D16" s="4">
        <v>92</v>
      </c>
      <c r="E16" s="4">
        <v>13</v>
      </c>
      <c r="F16" s="5">
        <f t="shared" si="0"/>
        <v>3967</v>
      </c>
    </row>
    <row r="17" spans="1:6" x14ac:dyDescent="0.2">
      <c r="A17" s="40"/>
      <c r="B17" s="4" t="s">
        <v>16</v>
      </c>
      <c r="C17" s="4">
        <f>7440+115</f>
        <v>7555</v>
      </c>
      <c r="D17" s="4">
        <f>338+6</f>
        <v>344</v>
      </c>
      <c r="E17" s="4">
        <v>40</v>
      </c>
      <c r="F17" s="5">
        <f t="shared" si="0"/>
        <v>7939</v>
      </c>
    </row>
    <row r="18" spans="1:6" x14ac:dyDescent="0.2">
      <c r="A18" s="40"/>
      <c r="B18" s="4" t="s">
        <v>17</v>
      </c>
      <c r="C18" s="4">
        <f>4347+72</f>
        <v>4419</v>
      </c>
      <c r="D18" s="4">
        <f>142+2</f>
        <v>144</v>
      </c>
      <c r="E18" s="4">
        <v>26</v>
      </c>
      <c r="F18" s="5">
        <f t="shared" si="0"/>
        <v>4589</v>
      </c>
    </row>
    <row r="19" spans="1:6" x14ac:dyDescent="0.2">
      <c r="A19" s="40"/>
      <c r="B19" s="4" t="s">
        <v>18</v>
      </c>
      <c r="C19" s="4">
        <f>3044+56</f>
        <v>3100</v>
      </c>
      <c r="D19" s="4">
        <f>61+2</f>
        <v>63</v>
      </c>
      <c r="E19" s="4">
        <v>13</v>
      </c>
      <c r="F19" s="5">
        <f t="shared" si="0"/>
        <v>3176</v>
      </c>
    </row>
    <row r="20" spans="1:6" x14ac:dyDescent="0.2">
      <c r="A20" s="40"/>
      <c r="B20" s="4" t="s">
        <v>19</v>
      </c>
      <c r="C20" s="4">
        <f>1914+16</f>
        <v>1930</v>
      </c>
      <c r="D20" s="4">
        <f>22+2</f>
        <v>24</v>
      </c>
      <c r="E20" s="4">
        <v>2</v>
      </c>
      <c r="F20" s="5">
        <f t="shared" si="0"/>
        <v>1956</v>
      </c>
    </row>
    <row r="21" spans="1:6" x14ac:dyDescent="0.2">
      <c r="A21" s="40"/>
      <c r="B21" s="4" t="s">
        <v>20</v>
      </c>
      <c r="C21" s="4">
        <f>1233+2</f>
        <v>1235</v>
      </c>
      <c r="D21" s="4">
        <v>1</v>
      </c>
      <c r="E21" s="4">
        <v>3</v>
      </c>
      <c r="F21" s="5">
        <f t="shared" si="0"/>
        <v>1239</v>
      </c>
    </row>
    <row r="22" spans="1:6" x14ac:dyDescent="0.2">
      <c r="A22" s="40"/>
      <c r="B22" s="4" t="s">
        <v>5</v>
      </c>
      <c r="C22" s="4">
        <f>263+1</f>
        <v>264</v>
      </c>
      <c r="D22" s="4">
        <v>0</v>
      </c>
      <c r="E22" s="4">
        <v>1</v>
      </c>
      <c r="F22" s="5">
        <f t="shared" si="0"/>
        <v>265</v>
      </c>
    </row>
    <row r="23" spans="1:6" x14ac:dyDescent="0.2">
      <c r="A23" s="40"/>
      <c r="B23" s="6" t="s">
        <v>39</v>
      </c>
      <c r="C23" s="6">
        <f>SUM(C15:C22)</f>
        <v>29353</v>
      </c>
      <c r="D23" s="6">
        <f>SUM(D15:D22)</f>
        <v>813</v>
      </c>
      <c r="E23" s="6">
        <f>SUM(E15:E22)</f>
        <v>290</v>
      </c>
      <c r="F23" s="7">
        <f t="shared" si="0"/>
        <v>30456</v>
      </c>
    </row>
    <row r="24" spans="1:6" x14ac:dyDescent="0.2">
      <c r="A24" s="40" t="s">
        <v>43</v>
      </c>
      <c r="B24" s="4" t="s">
        <v>6</v>
      </c>
      <c r="C24" s="4">
        <v>134</v>
      </c>
      <c r="D24" s="4">
        <v>59</v>
      </c>
      <c r="E24" s="4">
        <v>59</v>
      </c>
      <c r="F24" s="5">
        <f t="shared" si="0"/>
        <v>252</v>
      </c>
    </row>
    <row r="25" spans="1:6" x14ac:dyDescent="0.2">
      <c r="A25" s="40"/>
      <c r="B25" s="4" t="s">
        <v>21</v>
      </c>
      <c r="C25" s="4">
        <v>69</v>
      </c>
      <c r="D25" s="4">
        <v>25</v>
      </c>
      <c r="E25" s="4">
        <v>4</v>
      </c>
      <c r="F25" s="5">
        <f t="shared" si="0"/>
        <v>98</v>
      </c>
    </row>
    <row r="26" spans="1:6" x14ac:dyDescent="0.2">
      <c r="A26" s="40"/>
      <c r="B26" s="4" t="s">
        <v>22</v>
      </c>
      <c r="C26" s="4">
        <f>228+3</f>
        <v>231</v>
      </c>
      <c r="D26" s="4">
        <f>100+2</f>
        <v>102</v>
      </c>
      <c r="E26" s="4">
        <v>11</v>
      </c>
      <c r="F26" s="5">
        <f t="shared" si="0"/>
        <v>344</v>
      </c>
    </row>
    <row r="27" spans="1:6" x14ac:dyDescent="0.2">
      <c r="A27" s="40"/>
      <c r="B27" s="4" t="s">
        <v>23</v>
      </c>
      <c r="C27" s="4">
        <f>144+1</f>
        <v>145</v>
      </c>
      <c r="D27" s="4">
        <f>65+3</f>
        <v>68</v>
      </c>
      <c r="E27" s="4">
        <v>2</v>
      </c>
      <c r="F27" s="5">
        <f t="shared" si="0"/>
        <v>215</v>
      </c>
    </row>
    <row r="28" spans="1:6" x14ac:dyDescent="0.2">
      <c r="A28" s="40"/>
      <c r="B28" s="4" t="s">
        <v>24</v>
      </c>
      <c r="C28" s="4">
        <v>105</v>
      </c>
      <c r="D28" s="4">
        <f>33+1</f>
        <v>34</v>
      </c>
      <c r="E28" s="4">
        <v>1</v>
      </c>
      <c r="F28" s="5">
        <f t="shared" si="0"/>
        <v>140</v>
      </c>
    </row>
    <row r="29" spans="1:6" x14ac:dyDescent="0.2">
      <c r="A29" s="40"/>
      <c r="B29" s="4" t="s">
        <v>25</v>
      </c>
      <c r="C29" s="4">
        <f>94+1</f>
        <v>95</v>
      </c>
      <c r="D29" s="4">
        <f>11+2</f>
        <v>13</v>
      </c>
      <c r="E29" s="4">
        <v>0</v>
      </c>
      <c r="F29" s="5">
        <f t="shared" si="0"/>
        <v>108</v>
      </c>
    </row>
    <row r="30" spans="1:6" x14ac:dyDescent="0.2">
      <c r="A30" s="40"/>
      <c r="B30" s="4" t="s">
        <v>26</v>
      </c>
      <c r="C30" s="4">
        <v>29</v>
      </c>
      <c r="D30" s="4">
        <v>0</v>
      </c>
      <c r="E30" s="4">
        <v>0</v>
      </c>
      <c r="F30" s="5">
        <f t="shared" si="0"/>
        <v>29</v>
      </c>
    </row>
    <row r="31" spans="1:6" x14ac:dyDescent="0.2">
      <c r="A31" s="40"/>
      <c r="B31" s="4" t="s">
        <v>7</v>
      </c>
      <c r="C31" s="4">
        <v>3</v>
      </c>
      <c r="D31" s="4">
        <v>0</v>
      </c>
      <c r="E31" s="4">
        <v>0</v>
      </c>
      <c r="F31" s="5">
        <f t="shared" si="0"/>
        <v>3</v>
      </c>
    </row>
    <row r="32" spans="1:6" x14ac:dyDescent="0.2">
      <c r="A32" s="40"/>
      <c r="B32" s="6" t="s">
        <v>39</v>
      </c>
      <c r="C32" s="6">
        <f>SUM(C24:C31)</f>
        <v>811</v>
      </c>
      <c r="D32" s="6">
        <f>SUM(D24:D31)</f>
        <v>301</v>
      </c>
      <c r="E32" s="6">
        <f>SUM(E24:E31)</f>
        <v>77</v>
      </c>
      <c r="F32" s="7">
        <f t="shared" si="0"/>
        <v>1189</v>
      </c>
    </row>
    <row r="33" spans="1:6" x14ac:dyDescent="0.2">
      <c r="A33" s="40" t="s">
        <v>44</v>
      </c>
      <c r="B33" s="4" t="s">
        <v>8</v>
      </c>
      <c r="C33" s="4">
        <v>20</v>
      </c>
      <c r="D33" s="4">
        <v>17</v>
      </c>
      <c r="E33" s="4">
        <v>35</v>
      </c>
      <c r="F33" s="5">
        <f t="shared" si="0"/>
        <v>72</v>
      </c>
    </row>
    <row r="34" spans="1:6" x14ac:dyDescent="0.2">
      <c r="A34" s="40"/>
      <c r="B34" s="4" t="s">
        <v>27</v>
      </c>
      <c r="C34" s="4">
        <v>8</v>
      </c>
      <c r="D34" s="4">
        <v>3</v>
      </c>
      <c r="E34" s="4">
        <v>4</v>
      </c>
      <c r="F34" s="5">
        <f t="shared" si="0"/>
        <v>15</v>
      </c>
    </row>
    <row r="35" spans="1:6" x14ac:dyDescent="0.2">
      <c r="A35" s="40"/>
      <c r="B35" s="4" t="s">
        <v>28</v>
      </c>
      <c r="C35" s="4">
        <v>42</v>
      </c>
      <c r="D35" s="4">
        <f>34+1</f>
        <v>35</v>
      </c>
      <c r="E35" s="4">
        <v>15</v>
      </c>
      <c r="F35" s="5">
        <f t="shared" si="0"/>
        <v>92</v>
      </c>
    </row>
    <row r="36" spans="1:6" x14ac:dyDescent="0.2">
      <c r="A36" s="40"/>
      <c r="B36" s="4" t="s">
        <v>29</v>
      </c>
      <c r="C36" s="4">
        <v>24</v>
      </c>
      <c r="D36" s="4">
        <v>22</v>
      </c>
      <c r="E36" s="4">
        <v>3</v>
      </c>
      <c r="F36" s="5">
        <f t="shared" si="0"/>
        <v>49</v>
      </c>
    </row>
    <row r="37" spans="1:6" x14ac:dyDescent="0.2">
      <c r="A37" s="40"/>
      <c r="B37" s="4" t="s">
        <v>30</v>
      </c>
      <c r="C37" s="4">
        <v>16</v>
      </c>
      <c r="D37" s="4">
        <v>5</v>
      </c>
      <c r="E37" s="4">
        <v>0</v>
      </c>
      <c r="F37" s="5">
        <f t="shared" si="0"/>
        <v>21</v>
      </c>
    </row>
    <row r="38" spans="1:6" x14ac:dyDescent="0.2">
      <c r="A38" s="40"/>
      <c r="B38" s="4" t="s">
        <v>31</v>
      </c>
      <c r="C38" s="4">
        <v>19</v>
      </c>
      <c r="D38" s="4">
        <f>1+1</f>
        <v>2</v>
      </c>
      <c r="E38" s="4">
        <v>0</v>
      </c>
      <c r="F38" s="5">
        <f t="shared" si="0"/>
        <v>21</v>
      </c>
    </row>
    <row r="39" spans="1:6" x14ac:dyDescent="0.2">
      <c r="A39" s="40"/>
      <c r="B39" s="4" t="s">
        <v>32</v>
      </c>
      <c r="C39" s="4">
        <f>3+1</f>
        <v>4</v>
      </c>
      <c r="D39" s="4">
        <v>0</v>
      </c>
      <c r="E39" s="4">
        <v>0</v>
      </c>
      <c r="F39" s="5">
        <f t="shared" si="0"/>
        <v>4</v>
      </c>
    </row>
    <row r="40" spans="1:6" x14ac:dyDescent="0.2">
      <c r="A40" s="40"/>
      <c r="B40" s="4" t="s">
        <v>9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1"/>
      <c r="B41" s="8" t="s">
        <v>39</v>
      </c>
      <c r="C41" s="8">
        <f>SUM(C33:C40)</f>
        <v>133</v>
      </c>
      <c r="D41" s="8">
        <f>SUM(D33:D40)</f>
        <v>84</v>
      </c>
      <c r="E41" s="8">
        <f>SUM(E33:E40)</f>
        <v>57</v>
      </c>
      <c r="F41" s="9">
        <f t="shared" si="0"/>
        <v>274</v>
      </c>
    </row>
    <row r="42" spans="1:6" ht="12.75" thickBot="1" x14ac:dyDescent="0.25">
      <c r="A42" s="10" t="s">
        <v>39</v>
      </c>
      <c r="B42" s="11"/>
      <c r="C42" s="11">
        <f>C14+C23+C32+C41</f>
        <v>110493</v>
      </c>
      <c r="D42" s="11">
        <f>D14+D23+D32+D41</f>
        <v>30459</v>
      </c>
      <c r="E42" s="11">
        <f>E14+E23+E32+E41</f>
        <v>935</v>
      </c>
      <c r="F42" s="12">
        <f t="shared" si="0"/>
        <v>141887</v>
      </c>
    </row>
    <row r="43" spans="1:6" x14ac:dyDescent="0.2">
      <c r="A43" s="18"/>
      <c r="B43" s="19"/>
      <c r="C43" s="19"/>
      <c r="D43" s="19"/>
      <c r="E43" s="19"/>
      <c r="F43" s="19"/>
    </row>
    <row r="45" spans="1:6" ht="25.5" customHeight="1" x14ac:dyDescent="0.2">
      <c r="A45" s="35" t="s">
        <v>157</v>
      </c>
      <c r="B45" s="35"/>
      <c r="C45" s="35"/>
      <c r="D45" s="35"/>
      <c r="E45" s="35"/>
      <c r="F45" s="35"/>
    </row>
    <row r="46" spans="1:6" ht="12.75" customHeight="1" x14ac:dyDescent="0.2">
      <c r="A46" s="13">
        <v>43077</v>
      </c>
    </row>
    <row r="47" spans="1:6" ht="12.75" customHeight="1" x14ac:dyDescent="0.2">
      <c r="A47" s="36" t="s">
        <v>3</v>
      </c>
      <c r="B47" s="36"/>
      <c r="C47" s="36"/>
    </row>
    <row r="49" spans="1:7" x14ac:dyDescent="0.2">
      <c r="D49" s="37" t="s">
        <v>45</v>
      </c>
      <c r="E49" s="37"/>
      <c r="F49" s="37"/>
    </row>
    <row r="50" spans="1:7" x14ac:dyDescent="0.2">
      <c r="D50" s="37" t="s">
        <v>46</v>
      </c>
      <c r="E50" s="37"/>
      <c r="F50" s="37"/>
      <c r="G50" s="14"/>
    </row>
    <row r="51" spans="1:7" x14ac:dyDescent="0.2">
      <c r="F51" s="14"/>
      <c r="G51" s="14"/>
    </row>
    <row r="55" spans="1:7" x14ac:dyDescent="0.2">
      <c r="A55" s="15"/>
    </row>
  </sheetData>
  <mergeCells count="16">
    <mergeCell ref="C3:E3"/>
    <mergeCell ref="E4:E5"/>
    <mergeCell ref="A1:F1"/>
    <mergeCell ref="F3:F5"/>
    <mergeCell ref="B3:B5"/>
    <mergeCell ref="A3:A5"/>
    <mergeCell ref="C4:C5"/>
    <mergeCell ref="D4:D5"/>
    <mergeCell ref="D50:F50"/>
    <mergeCell ref="D49:F49"/>
    <mergeCell ref="A47:C47"/>
    <mergeCell ref="A6:A14"/>
    <mergeCell ref="A15:A23"/>
    <mergeCell ref="A24:A32"/>
    <mergeCell ref="A33:A41"/>
    <mergeCell ref="A45:F45"/>
  </mergeCells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activeCell="A3" sqref="A3:A5"/>
    </sheetView>
  </sheetViews>
  <sheetFormatPr defaultRowHeight="12" x14ac:dyDescent="0.2"/>
  <cols>
    <col min="1" max="1" width="11.140625" style="1" customWidth="1"/>
    <col min="2" max="2" width="14.7109375" style="1" customWidth="1"/>
    <col min="3" max="3" width="12.5703125" style="1" customWidth="1"/>
    <col min="4" max="4" width="14.7109375" style="1" customWidth="1"/>
    <col min="5" max="5" width="12.5703125" style="1" customWidth="1"/>
    <col min="6" max="6" width="14.140625" style="1" customWidth="1"/>
    <col min="7" max="7" width="12.140625" style="1" customWidth="1"/>
    <col min="8" max="8" width="15.140625" style="1" customWidth="1"/>
    <col min="9" max="9" width="12.5703125" style="1" customWidth="1"/>
    <col min="10" max="10" width="6.85546875" style="1" bestFit="1" customWidth="1"/>
    <col min="11" max="16384" width="9.140625" style="1"/>
  </cols>
  <sheetData>
    <row r="1" spans="1:10" ht="12.75" x14ac:dyDescent="0.2">
      <c r="A1" s="56" t="s">
        <v>48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2.75" thickBot="1" x14ac:dyDescent="0.25"/>
    <row r="3" spans="1:10" ht="12" customHeight="1" x14ac:dyDescent="0.2">
      <c r="A3" s="42"/>
      <c r="B3" s="58" t="s">
        <v>49</v>
      </c>
      <c r="C3" s="58" t="s">
        <v>50</v>
      </c>
      <c r="D3" s="58" t="s">
        <v>51</v>
      </c>
      <c r="E3" s="58" t="s">
        <v>50</v>
      </c>
      <c r="F3" s="58" t="s">
        <v>52</v>
      </c>
      <c r="G3" s="58" t="s">
        <v>50</v>
      </c>
      <c r="H3" s="58" t="s">
        <v>53</v>
      </c>
      <c r="I3" s="58" t="s">
        <v>50</v>
      </c>
      <c r="J3" s="65" t="s">
        <v>39</v>
      </c>
    </row>
    <row r="4" spans="1:10" x14ac:dyDescent="0.2">
      <c r="A4" s="43"/>
      <c r="B4" s="59"/>
      <c r="C4" s="59"/>
      <c r="D4" s="59"/>
      <c r="E4" s="59"/>
      <c r="F4" s="59"/>
      <c r="G4" s="59"/>
      <c r="H4" s="59"/>
      <c r="I4" s="59"/>
      <c r="J4" s="66"/>
    </row>
    <row r="5" spans="1:10" ht="12.75" thickBot="1" x14ac:dyDescent="0.25">
      <c r="A5" s="44"/>
      <c r="B5" s="60"/>
      <c r="C5" s="60"/>
      <c r="D5" s="60"/>
      <c r="E5" s="60"/>
      <c r="F5" s="60"/>
      <c r="G5" s="60"/>
      <c r="H5" s="60"/>
      <c r="I5" s="60"/>
      <c r="J5" s="67"/>
    </row>
    <row r="6" spans="1:10" ht="12" customHeight="1" x14ac:dyDescent="0.2">
      <c r="A6" s="39" t="s">
        <v>41</v>
      </c>
      <c r="B6" s="21" t="s">
        <v>54</v>
      </c>
      <c r="C6" s="2">
        <v>9</v>
      </c>
      <c r="D6" s="2" t="s">
        <v>55</v>
      </c>
      <c r="E6" s="2">
        <v>348</v>
      </c>
      <c r="F6" s="2" t="s">
        <v>56</v>
      </c>
      <c r="G6" s="2">
        <v>83</v>
      </c>
      <c r="H6" s="2" t="s">
        <v>0</v>
      </c>
      <c r="I6" s="2">
        <v>98</v>
      </c>
      <c r="J6" s="64"/>
    </row>
    <row r="7" spans="1:10" x14ac:dyDescent="0.2">
      <c r="A7" s="40"/>
      <c r="B7" s="22" t="s">
        <v>57</v>
      </c>
      <c r="C7" s="4">
        <v>2</v>
      </c>
      <c r="D7" s="4" t="s">
        <v>58</v>
      </c>
      <c r="E7" s="4">
        <v>308</v>
      </c>
      <c r="F7" s="4" t="s">
        <v>59</v>
      </c>
      <c r="G7" s="4">
        <v>53</v>
      </c>
      <c r="H7" s="4" t="s">
        <v>14</v>
      </c>
      <c r="I7" s="4">
        <v>95</v>
      </c>
      <c r="J7" s="54"/>
    </row>
    <row r="8" spans="1:10" x14ac:dyDescent="0.2">
      <c r="A8" s="40"/>
      <c r="B8" s="22" t="s">
        <v>60</v>
      </c>
      <c r="C8" s="4">
        <v>13</v>
      </c>
      <c r="D8" s="4" t="s">
        <v>61</v>
      </c>
      <c r="E8" s="4">
        <v>561</v>
      </c>
      <c r="F8" s="4" t="s">
        <v>62</v>
      </c>
      <c r="G8" s="4">
        <v>139</v>
      </c>
      <c r="H8" s="4" t="s">
        <v>10</v>
      </c>
      <c r="I8" s="4">
        <v>146</v>
      </c>
      <c r="J8" s="54"/>
    </row>
    <row r="9" spans="1:10" x14ac:dyDescent="0.2">
      <c r="A9" s="40"/>
      <c r="B9" s="22" t="s">
        <v>63</v>
      </c>
      <c r="C9" s="4">
        <v>8</v>
      </c>
      <c r="D9" s="4" t="s">
        <v>64</v>
      </c>
      <c r="E9" s="4">
        <v>262</v>
      </c>
      <c r="F9" s="4" t="s">
        <v>65</v>
      </c>
      <c r="G9" s="4">
        <v>66</v>
      </c>
      <c r="H9" s="4" t="s">
        <v>11</v>
      </c>
      <c r="I9" s="4">
        <v>61</v>
      </c>
      <c r="J9" s="54"/>
    </row>
    <row r="10" spans="1:10" x14ac:dyDescent="0.2">
      <c r="A10" s="40"/>
      <c r="B10" s="22" t="s">
        <v>66</v>
      </c>
      <c r="C10" s="4">
        <v>3</v>
      </c>
      <c r="D10" s="4" t="s">
        <v>67</v>
      </c>
      <c r="E10" s="4">
        <v>150</v>
      </c>
      <c r="F10" s="4" t="s">
        <v>68</v>
      </c>
      <c r="G10" s="4">
        <v>32</v>
      </c>
      <c r="H10" s="4" t="s">
        <v>12</v>
      </c>
      <c r="I10" s="4">
        <v>39</v>
      </c>
      <c r="J10" s="54"/>
    </row>
    <row r="11" spans="1:10" x14ac:dyDescent="0.2">
      <c r="A11" s="40"/>
      <c r="B11" s="22" t="s">
        <v>69</v>
      </c>
      <c r="C11" s="4">
        <v>3</v>
      </c>
      <c r="D11" s="4" t="s">
        <v>70</v>
      </c>
      <c r="E11" s="4">
        <v>81</v>
      </c>
      <c r="F11" s="4" t="s">
        <v>71</v>
      </c>
      <c r="G11" s="4">
        <v>17</v>
      </c>
      <c r="H11" s="4" t="s">
        <v>13</v>
      </c>
      <c r="I11" s="4">
        <v>19</v>
      </c>
      <c r="J11" s="54"/>
    </row>
    <row r="12" spans="1:10" x14ac:dyDescent="0.2">
      <c r="A12" s="40"/>
      <c r="B12" s="22" t="s">
        <v>72</v>
      </c>
      <c r="C12" s="4">
        <v>1</v>
      </c>
      <c r="D12" s="4" t="s">
        <v>73</v>
      </c>
      <c r="E12" s="4">
        <v>54</v>
      </c>
      <c r="F12" s="4" t="s">
        <v>74</v>
      </c>
      <c r="G12" s="4">
        <v>11</v>
      </c>
      <c r="H12" s="4" t="s">
        <v>1</v>
      </c>
      <c r="I12" s="4">
        <v>13</v>
      </c>
      <c r="J12" s="54"/>
    </row>
    <row r="13" spans="1:10" x14ac:dyDescent="0.2">
      <c r="A13" s="40"/>
      <c r="B13" s="22" t="s">
        <v>75</v>
      </c>
      <c r="C13" s="4">
        <v>1</v>
      </c>
      <c r="D13" s="4" t="s">
        <v>76</v>
      </c>
      <c r="E13" s="4">
        <v>82</v>
      </c>
      <c r="F13" s="4" t="s">
        <v>77</v>
      </c>
      <c r="G13" s="4">
        <v>26</v>
      </c>
      <c r="H13" s="4" t="s">
        <v>2</v>
      </c>
      <c r="I13" s="4">
        <v>17</v>
      </c>
      <c r="J13" s="54"/>
    </row>
    <row r="14" spans="1:10" ht="12.75" thickBot="1" x14ac:dyDescent="0.25">
      <c r="A14" s="40"/>
      <c r="B14" s="23" t="s">
        <v>39</v>
      </c>
      <c r="C14" s="6">
        <f>SUM(C6:C13)</f>
        <v>40</v>
      </c>
      <c r="D14" s="6"/>
      <c r="E14" s="6">
        <f>SUM(E6:E13)</f>
        <v>1846</v>
      </c>
      <c r="F14" s="6"/>
      <c r="G14" s="6">
        <f>SUM(G6:G13)</f>
        <v>427</v>
      </c>
      <c r="H14" s="6"/>
      <c r="I14" s="6">
        <f>SUM(I6:I13)</f>
        <v>488</v>
      </c>
      <c r="J14" s="7">
        <f>C14+E14+G14+I14</f>
        <v>2801</v>
      </c>
    </row>
    <row r="15" spans="1:10" ht="12" customHeight="1" x14ac:dyDescent="0.2">
      <c r="A15" s="39" t="s">
        <v>42</v>
      </c>
      <c r="B15" s="22" t="s">
        <v>78</v>
      </c>
      <c r="C15" s="4">
        <v>2</v>
      </c>
      <c r="D15" s="4" t="s">
        <v>0</v>
      </c>
      <c r="E15" s="4">
        <v>172</v>
      </c>
      <c r="F15" s="4" t="s">
        <v>79</v>
      </c>
      <c r="G15" s="4">
        <v>41</v>
      </c>
      <c r="H15" s="4" t="s">
        <v>4</v>
      </c>
      <c r="I15" s="4">
        <v>39</v>
      </c>
      <c r="J15" s="54"/>
    </row>
    <row r="16" spans="1:10" x14ac:dyDescent="0.2">
      <c r="A16" s="40"/>
      <c r="B16" s="22" t="s">
        <v>80</v>
      </c>
      <c r="C16" s="4">
        <v>1</v>
      </c>
      <c r="D16" s="4" t="s">
        <v>81</v>
      </c>
      <c r="E16" s="4">
        <v>120</v>
      </c>
      <c r="F16" s="4" t="s">
        <v>82</v>
      </c>
      <c r="G16" s="4">
        <v>29</v>
      </c>
      <c r="H16" s="4" t="s">
        <v>15</v>
      </c>
      <c r="I16" s="4">
        <v>28</v>
      </c>
      <c r="J16" s="54"/>
    </row>
    <row r="17" spans="1:10" x14ac:dyDescent="0.2">
      <c r="A17" s="40"/>
      <c r="B17" s="22" t="s">
        <v>83</v>
      </c>
      <c r="C17" s="4">
        <v>10</v>
      </c>
      <c r="D17" s="4" t="s">
        <v>84</v>
      </c>
      <c r="E17" s="4">
        <v>420</v>
      </c>
      <c r="F17" s="4" t="s">
        <v>85</v>
      </c>
      <c r="G17" s="4">
        <v>75</v>
      </c>
      <c r="H17" s="4" t="s">
        <v>16</v>
      </c>
      <c r="I17" s="4">
        <v>72</v>
      </c>
      <c r="J17" s="54"/>
    </row>
    <row r="18" spans="1:10" x14ac:dyDescent="0.2">
      <c r="A18" s="40"/>
      <c r="B18" s="22" t="s">
        <v>86</v>
      </c>
      <c r="C18" s="4">
        <v>7</v>
      </c>
      <c r="D18" s="4" t="s">
        <v>87</v>
      </c>
      <c r="E18" s="4">
        <v>272</v>
      </c>
      <c r="F18" s="4" t="s">
        <v>88</v>
      </c>
      <c r="G18" s="4">
        <v>52</v>
      </c>
      <c r="H18" s="4" t="s">
        <v>17</v>
      </c>
      <c r="I18" s="4">
        <v>64</v>
      </c>
      <c r="J18" s="54"/>
    </row>
    <row r="19" spans="1:10" x14ac:dyDescent="0.2">
      <c r="A19" s="40"/>
      <c r="B19" s="22" t="s">
        <v>89</v>
      </c>
      <c r="C19" s="4">
        <v>4</v>
      </c>
      <c r="D19" s="4" t="s">
        <v>90</v>
      </c>
      <c r="E19" s="4">
        <v>122</v>
      </c>
      <c r="F19" s="4" t="s">
        <v>91</v>
      </c>
      <c r="G19" s="4">
        <v>31</v>
      </c>
      <c r="H19" s="4" t="s">
        <v>18</v>
      </c>
      <c r="I19" s="4">
        <v>27</v>
      </c>
      <c r="J19" s="54"/>
    </row>
    <row r="20" spans="1:10" x14ac:dyDescent="0.2">
      <c r="A20" s="40"/>
      <c r="B20" s="22" t="s">
        <v>92</v>
      </c>
      <c r="C20" s="4">
        <v>2</v>
      </c>
      <c r="D20" s="4" t="s">
        <v>93</v>
      </c>
      <c r="E20" s="4">
        <v>58</v>
      </c>
      <c r="F20" s="4" t="s">
        <v>94</v>
      </c>
      <c r="G20" s="4">
        <v>11</v>
      </c>
      <c r="H20" s="4" t="s">
        <v>19</v>
      </c>
      <c r="I20" s="4">
        <v>15</v>
      </c>
      <c r="J20" s="54"/>
    </row>
    <row r="21" spans="1:10" x14ac:dyDescent="0.2">
      <c r="A21" s="40"/>
      <c r="B21" s="22" t="s">
        <v>95</v>
      </c>
      <c r="C21" s="4">
        <v>0</v>
      </c>
      <c r="D21" s="4" t="s">
        <v>96</v>
      </c>
      <c r="E21" s="4">
        <v>29</v>
      </c>
      <c r="F21" s="4" t="s">
        <v>97</v>
      </c>
      <c r="G21" s="4">
        <v>6</v>
      </c>
      <c r="H21" s="4" t="s">
        <v>20</v>
      </c>
      <c r="I21" s="4">
        <v>6</v>
      </c>
      <c r="J21" s="54"/>
    </row>
    <row r="22" spans="1:10" x14ac:dyDescent="0.2">
      <c r="A22" s="40"/>
      <c r="B22" s="22" t="s">
        <v>98</v>
      </c>
      <c r="C22" s="4">
        <v>0</v>
      </c>
      <c r="D22" s="4" t="s">
        <v>99</v>
      </c>
      <c r="E22" s="4">
        <v>21</v>
      </c>
      <c r="F22" s="4" t="s">
        <v>100</v>
      </c>
      <c r="G22" s="4">
        <v>2</v>
      </c>
      <c r="H22" s="4" t="s">
        <v>5</v>
      </c>
      <c r="I22" s="4">
        <v>3</v>
      </c>
      <c r="J22" s="54"/>
    </row>
    <row r="23" spans="1:10" ht="12.75" thickBot="1" x14ac:dyDescent="0.25">
      <c r="A23" s="40"/>
      <c r="B23" s="23" t="s">
        <v>39</v>
      </c>
      <c r="C23" s="6">
        <f>SUM(C15:C22)</f>
        <v>26</v>
      </c>
      <c r="D23" s="6"/>
      <c r="E23" s="6">
        <f>SUM(E15:E22)</f>
        <v>1214</v>
      </c>
      <c r="F23" s="6"/>
      <c r="G23" s="6">
        <f>SUM(G15:G22)</f>
        <v>247</v>
      </c>
      <c r="H23" s="6"/>
      <c r="I23" s="6">
        <f>SUM(I15:I22)</f>
        <v>254</v>
      </c>
      <c r="J23" s="7">
        <f>C23+E23+G23+I23</f>
        <v>1741</v>
      </c>
    </row>
    <row r="24" spans="1:10" ht="12" customHeight="1" x14ac:dyDescent="0.2">
      <c r="A24" s="39" t="s">
        <v>43</v>
      </c>
      <c r="B24" s="22" t="s">
        <v>101</v>
      </c>
      <c r="C24" s="4">
        <v>0</v>
      </c>
      <c r="D24" s="4" t="s">
        <v>102</v>
      </c>
      <c r="E24" s="4">
        <v>63</v>
      </c>
      <c r="F24" s="4" t="s">
        <v>103</v>
      </c>
      <c r="G24" s="4">
        <v>10</v>
      </c>
      <c r="H24" s="4" t="s">
        <v>6</v>
      </c>
      <c r="I24" s="4">
        <v>14</v>
      </c>
      <c r="J24" s="54"/>
    </row>
    <row r="25" spans="1:10" x14ac:dyDescent="0.2">
      <c r="A25" s="40"/>
      <c r="B25" s="22" t="s">
        <v>104</v>
      </c>
      <c r="C25" s="4">
        <v>1</v>
      </c>
      <c r="D25" s="4" t="s">
        <v>105</v>
      </c>
      <c r="E25" s="4">
        <v>43</v>
      </c>
      <c r="F25" s="4" t="s">
        <v>106</v>
      </c>
      <c r="G25" s="4">
        <v>7</v>
      </c>
      <c r="H25" s="4" t="s">
        <v>21</v>
      </c>
      <c r="I25" s="4">
        <v>8</v>
      </c>
      <c r="J25" s="54"/>
    </row>
    <row r="26" spans="1:10" x14ac:dyDescent="0.2">
      <c r="A26" s="40"/>
      <c r="B26" s="22" t="s">
        <v>107</v>
      </c>
      <c r="C26" s="4">
        <v>0</v>
      </c>
      <c r="D26" s="4" t="s">
        <v>108</v>
      </c>
      <c r="E26" s="4">
        <v>193</v>
      </c>
      <c r="F26" s="4" t="s">
        <v>109</v>
      </c>
      <c r="G26" s="4">
        <v>28</v>
      </c>
      <c r="H26" s="4" t="s">
        <v>22</v>
      </c>
      <c r="I26" s="4">
        <v>36</v>
      </c>
      <c r="J26" s="54"/>
    </row>
    <row r="27" spans="1:10" x14ac:dyDescent="0.2">
      <c r="A27" s="40"/>
      <c r="B27" s="22" t="s">
        <v>110</v>
      </c>
      <c r="C27" s="4">
        <v>0</v>
      </c>
      <c r="D27" s="4" t="s">
        <v>111</v>
      </c>
      <c r="E27" s="4">
        <v>93</v>
      </c>
      <c r="F27" s="4" t="s">
        <v>112</v>
      </c>
      <c r="G27" s="4">
        <v>23</v>
      </c>
      <c r="H27" s="4" t="s">
        <v>23</v>
      </c>
      <c r="I27" s="4">
        <v>16</v>
      </c>
      <c r="J27" s="54"/>
    </row>
    <row r="28" spans="1:10" x14ac:dyDescent="0.2">
      <c r="A28" s="40"/>
      <c r="B28" s="22" t="s">
        <v>113</v>
      </c>
      <c r="C28" s="4">
        <v>1</v>
      </c>
      <c r="D28" s="4" t="s">
        <v>114</v>
      </c>
      <c r="E28" s="4">
        <v>51</v>
      </c>
      <c r="F28" s="4" t="s">
        <v>115</v>
      </c>
      <c r="G28" s="4">
        <v>10</v>
      </c>
      <c r="H28" s="4" t="s">
        <v>24</v>
      </c>
      <c r="I28" s="4">
        <v>15</v>
      </c>
      <c r="J28" s="54"/>
    </row>
    <row r="29" spans="1:10" x14ac:dyDescent="0.2">
      <c r="A29" s="40"/>
      <c r="B29" s="22" t="s">
        <v>116</v>
      </c>
      <c r="C29" s="4">
        <v>0</v>
      </c>
      <c r="D29" s="4" t="s">
        <v>117</v>
      </c>
      <c r="E29" s="4">
        <v>13</v>
      </c>
      <c r="F29" s="4" t="s">
        <v>118</v>
      </c>
      <c r="G29" s="4">
        <v>1</v>
      </c>
      <c r="H29" s="4" t="s">
        <v>25</v>
      </c>
      <c r="I29" s="4">
        <v>2</v>
      </c>
      <c r="J29" s="54"/>
    </row>
    <row r="30" spans="1:10" x14ac:dyDescent="0.2">
      <c r="A30" s="40"/>
      <c r="B30" s="22" t="s">
        <v>119</v>
      </c>
      <c r="C30" s="4">
        <v>0</v>
      </c>
      <c r="D30" s="4" t="s">
        <v>120</v>
      </c>
      <c r="E30" s="4">
        <v>5</v>
      </c>
      <c r="F30" s="4" t="s">
        <v>121</v>
      </c>
      <c r="G30" s="4">
        <v>1</v>
      </c>
      <c r="H30" s="4" t="s">
        <v>26</v>
      </c>
      <c r="I30" s="4">
        <v>4</v>
      </c>
      <c r="J30" s="54"/>
    </row>
    <row r="31" spans="1:10" x14ac:dyDescent="0.2">
      <c r="A31" s="40"/>
      <c r="B31" s="22" t="s">
        <v>122</v>
      </c>
      <c r="C31" s="4">
        <v>0</v>
      </c>
      <c r="D31" s="4" t="s">
        <v>123</v>
      </c>
      <c r="E31" s="4">
        <v>3</v>
      </c>
      <c r="F31" s="4" t="s">
        <v>124</v>
      </c>
      <c r="G31" s="4">
        <v>0</v>
      </c>
      <c r="H31" s="4" t="s">
        <v>7</v>
      </c>
      <c r="I31" s="4">
        <v>0</v>
      </c>
      <c r="J31" s="54"/>
    </row>
    <row r="32" spans="1:10" ht="12.75" thickBot="1" x14ac:dyDescent="0.25">
      <c r="A32" s="40"/>
      <c r="B32" s="23" t="s">
        <v>39</v>
      </c>
      <c r="C32" s="6">
        <f>SUM(C24:C31)</f>
        <v>2</v>
      </c>
      <c r="D32" s="6"/>
      <c r="E32" s="6">
        <f>SUM(E24:E31)</f>
        <v>464</v>
      </c>
      <c r="F32" s="6"/>
      <c r="G32" s="6">
        <f>SUM(G24:G31)</f>
        <v>80</v>
      </c>
      <c r="H32" s="6"/>
      <c r="I32" s="6">
        <f>SUM(I24:I31)</f>
        <v>95</v>
      </c>
      <c r="J32" s="7">
        <f>C32+E32+G32+I32</f>
        <v>641</v>
      </c>
    </row>
    <row r="33" spans="1:10" ht="12" customHeight="1" x14ac:dyDescent="0.2">
      <c r="A33" s="39" t="s">
        <v>44</v>
      </c>
      <c r="B33" s="22" t="s">
        <v>0</v>
      </c>
      <c r="C33" s="4">
        <v>0</v>
      </c>
      <c r="D33" s="4" t="s">
        <v>125</v>
      </c>
      <c r="E33" s="4">
        <v>29</v>
      </c>
      <c r="F33" s="4" t="s">
        <v>126</v>
      </c>
      <c r="G33" s="4">
        <v>2</v>
      </c>
      <c r="H33" s="4" t="s">
        <v>8</v>
      </c>
      <c r="I33" s="4">
        <v>5</v>
      </c>
      <c r="J33" s="54"/>
    </row>
    <row r="34" spans="1:10" x14ac:dyDescent="0.2">
      <c r="A34" s="40"/>
      <c r="B34" s="22" t="s">
        <v>14</v>
      </c>
      <c r="C34" s="4">
        <v>0</v>
      </c>
      <c r="D34" s="4" t="s">
        <v>127</v>
      </c>
      <c r="E34" s="4">
        <v>13</v>
      </c>
      <c r="F34" s="4" t="s">
        <v>128</v>
      </c>
      <c r="G34" s="4">
        <v>6</v>
      </c>
      <c r="H34" s="4" t="s">
        <v>27</v>
      </c>
      <c r="I34" s="4">
        <v>2</v>
      </c>
      <c r="J34" s="54"/>
    </row>
    <row r="35" spans="1:10" x14ac:dyDescent="0.2">
      <c r="A35" s="40"/>
      <c r="B35" s="22" t="s">
        <v>10</v>
      </c>
      <c r="C35" s="4">
        <v>1</v>
      </c>
      <c r="D35" s="4" t="s">
        <v>129</v>
      </c>
      <c r="E35" s="4">
        <v>109</v>
      </c>
      <c r="F35" s="4" t="s">
        <v>130</v>
      </c>
      <c r="G35" s="4">
        <v>19</v>
      </c>
      <c r="H35" s="4" t="s">
        <v>28</v>
      </c>
      <c r="I35" s="4">
        <v>10</v>
      </c>
      <c r="J35" s="54"/>
    </row>
    <row r="36" spans="1:10" x14ac:dyDescent="0.2">
      <c r="A36" s="40"/>
      <c r="B36" s="22" t="s">
        <v>11</v>
      </c>
      <c r="C36" s="4">
        <v>1</v>
      </c>
      <c r="D36" s="4" t="s">
        <v>131</v>
      </c>
      <c r="E36" s="4">
        <v>41</v>
      </c>
      <c r="F36" s="4" t="s">
        <v>132</v>
      </c>
      <c r="G36" s="4">
        <v>10</v>
      </c>
      <c r="H36" s="4" t="s">
        <v>29</v>
      </c>
      <c r="I36" s="4">
        <v>7</v>
      </c>
      <c r="J36" s="54"/>
    </row>
    <row r="37" spans="1:10" x14ac:dyDescent="0.2">
      <c r="A37" s="40"/>
      <c r="B37" s="22" t="s">
        <v>12</v>
      </c>
      <c r="C37" s="4">
        <v>0</v>
      </c>
      <c r="D37" s="4" t="s">
        <v>133</v>
      </c>
      <c r="E37" s="4">
        <v>12</v>
      </c>
      <c r="F37" s="4" t="s">
        <v>134</v>
      </c>
      <c r="G37" s="4">
        <v>3</v>
      </c>
      <c r="H37" s="4" t="s">
        <v>30</v>
      </c>
      <c r="I37" s="4">
        <v>7</v>
      </c>
      <c r="J37" s="54"/>
    </row>
    <row r="38" spans="1:10" x14ac:dyDescent="0.2">
      <c r="A38" s="40"/>
      <c r="B38" s="22" t="s">
        <v>135</v>
      </c>
      <c r="C38" s="4">
        <v>0</v>
      </c>
      <c r="D38" s="4" t="s">
        <v>136</v>
      </c>
      <c r="E38" s="4">
        <v>5</v>
      </c>
      <c r="F38" s="4" t="s">
        <v>137</v>
      </c>
      <c r="G38" s="4">
        <v>1</v>
      </c>
      <c r="H38" s="4" t="s">
        <v>31</v>
      </c>
      <c r="I38" s="4">
        <v>0</v>
      </c>
      <c r="J38" s="54"/>
    </row>
    <row r="39" spans="1:10" x14ac:dyDescent="0.2">
      <c r="A39" s="40"/>
      <c r="B39" s="22" t="s">
        <v>138</v>
      </c>
      <c r="C39" s="4">
        <v>0</v>
      </c>
      <c r="D39" s="4" t="s">
        <v>139</v>
      </c>
      <c r="E39" s="4">
        <v>4</v>
      </c>
      <c r="F39" s="4" t="s">
        <v>140</v>
      </c>
      <c r="G39" s="4">
        <v>0</v>
      </c>
      <c r="H39" s="4" t="s">
        <v>32</v>
      </c>
      <c r="I39" s="4">
        <v>1</v>
      </c>
      <c r="J39" s="54"/>
    </row>
    <row r="40" spans="1:10" x14ac:dyDescent="0.2">
      <c r="A40" s="40"/>
      <c r="B40" s="22" t="s">
        <v>2</v>
      </c>
      <c r="C40" s="4">
        <v>0</v>
      </c>
      <c r="D40" s="4" t="s">
        <v>141</v>
      </c>
      <c r="E40" s="4">
        <v>0</v>
      </c>
      <c r="F40" s="4" t="s">
        <v>142</v>
      </c>
      <c r="G40" s="4">
        <v>0</v>
      </c>
      <c r="H40" s="4" t="s">
        <v>9</v>
      </c>
      <c r="I40" s="4">
        <v>0</v>
      </c>
      <c r="J40" s="54"/>
    </row>
    <row r="41" spans="1:10" ht="12.75" thickBot="1" x14ac:dyDescent="0.25">
      <c r="A41" s="40"/>
      <c r="B41" s="24" t="s">
        <v>39</v>
      </c>
      <c r="C41" s="8">
        <f>SUM(C33:C40)</f>
        <v>2</v>
      </c>
      <c r="D41" s="8"/>
      <c r="E41" s="8">
        <f>SUM(E33:E40)</f>
        <v>213</v>
      </c>
      <c r="F41" s="8"/>
      <c r="G41" s="8">
        <f>SUM(G33:G40)</f>
        <v>41</v>
      </c>
      <c r="H41" s="8"/>
      <c r="I41" s="8">
        <f>SUM(I33:I40)</f>
        <v>32</v>
      </c>
      <c r="J41" s="9">
        <f>C41+E41+G41+I41</f>
        <v>288</v>
      </c>
    </row>
    <row r="42" spans="1:10" ht="12.75" thickBot="1" x14ac:dyDescent="0.25">
      <c r="A42" s="25" t="s">
        <v>39</v>
      </c>
      <c r="B42" s="26"/>
      <c r="C42" s="27">
        <f>C14+C23+C32+C41</f>
        <v>70</v>
      </c>
      <c r="D42" s="27"/>
      <c r="E42" s="27">
        <f>E14+E23+E32+E41</f>
        <v>3737</v>
      </c>
      <c r="F42" s="27"/>
      <c r="G42" s="27">
        <f>G14+G23+G32+G41</f>
        <v>795</v>
      </c>
      <c r="H42" s="27"/>
      <c r="I42" s="27">
        <f>I14+I23+I32+I41</f>
        <v>869</v>
      </c>
      <c r="J42" s="28">
        <f>C42+E42+G42+I42</f>
        <v>5471</v>
      </c>
    </row>
    <row r="44" spans="1:10" x14ac:dyDescent="0.2">
      <c r="A44" s="29" t="s">
        <v>143</v>
      </c>
      <c r="B44" s="29"/>
      <c r="C44" s="29"/>
      <c r="D44" s="29"/>
      <c r="E44" s="29"/>
      <c r="F44" s="29"/>
    </row>
    <row r="45" spans="1:10" x14ac:dyDescent="0.2">
      <c r="A45" s="13">
        <v>43077</v>
      </c>
    </row>
    <row r="46" spans="1:10" x14ac:dyDescent="0.2">
      <c r="A46" s="36" t="s">
        <v>3</v>
      </c>
      <c r="B46" s="36"/>
      <c r="C46" s="36"/>
    </row>
    <row r="47" spans="1:10" x14ac:dyDescent="0.2">
      <c r="G47" s="37" t="s">
        <v>45</v>
      </c>
      <c r="H47" s="37"/>
      <c r="I47" s="37"/>
      <c r="J47" s="37"/>
    </row>
    <row r="48" spans="1:10" x14ac:dyDescent="0.2">
      <c r="G48" s="37" t="s">
        <v>46</v>
      </c>
      <c r="H48" s="37"/>
      <c r="I48" s="37"/>
      <c r="J48" s="37"/>
    </row>
    <row r="52" spans="1:1" x14ac:dyDescent="0.2">
      <c r="A52" s="15"/>
    </row>
  </sheetData>
  <mergeCells count="22">
    <mergeCell ref="A6:A14"/>
    <mergeCell ref="J6:J13"/>
    <mergeCell ref="A15:A23"/>
    <mergeCell ref="A1:J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G48:J48"/>
    <mergeCell ref="J15:J22"/>
    <mergeCell ref="A33:A41"/>
    <mergeCell ref="J33:J40"/>
    <mergeCell ref="A46:C46"/>
    <mergeCell ref="G47:J47"/>
    <mergeCell ref="A24:A32"/>
    <mergeCell ref="J24:J31"/>
  </mergeCells>
  <pageMargins left="0.7" right="0.7" top="0.75" bottom="0.75" header="0.3" footer="0.3"/>
  <pageSetup paperSize="9" scale="86" orientation="landscape" r:id="rId1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H39" sqref="H39"/>
    </sheetView>
  </sheetViews>
  <sheetFormatPr defaultRowHeight="12" x14ac:dyDescent="0.2"/>
  <cols>
    <col min="1" max="1" width="11.28515625" style="1" customWidth="1"/>
    <col min="2" max="2" width="14.85546875" style="1" bestFit="1" customWidth="1"/>
    <col min="3" max="3" width="11.28515625" style="1" customWidth="1"/>
    <col min="4" max="4" width="12" style="1" customWidth="1"/>
    <col min="5" max="5" width="10" style="1" customWidth="1"/>
    <col min="6" max="6" width="7.7109375" style="1" bestFit="1" customWidth="1"/>
    <col min="7" max="16384" width="9.140625" style="1"/>
  </cols>
  <sheetData>
    <row r="1" spans="1:6" ht="26.25" customHeight="1" x14ac:dyDescent="0.2">
      <c r="A1" s="38" t="s">
        <v>158</v>
      </c>
      <c r="B1" s="38"/>
      <c r="C1" s="38"/>
      <c r="D1" s="38"/>
      <c r="E1" s="38"/>
      <c r="F1" s="38"/>
    </row>
    <row r="2" spans="1:6" ht="12.75" thickBot="1" x14ac:dyDescent="0.25"/>
    <row r="3" spans="1:6" x14ac:dyDescent="0.2">
      <c r="A3" s="42"/>
      <c r="B3" s="45" t="s">
        <v>40</v>
      </c>
      <c r="C3" s="48" t="s">
        <v>36</v>
      </c>
      <c r="D3" s="48"/>
      <c r="E3" s="48"/>
      <c r="F3" s="49" t="s">
        <v>39</v>
      </c>
    </row>
    <row r="4" spans="1:6" ht="12" customHeight="1" x14ac:dyDescent="0.2">
      <c r="A4" s="43"/>
      <c r="B4" s="46"/>
      <c r="C4" s="52" t="s">
        <v>47</v>
      </c>
      <c r="D4" s="52" t="s">
        <v>37</v>
      </c>
      <c r="E4" s="52" t="s">
        <v>38</v>
      </c>
      <c r="F4" s="50"/>
    </row>
    <row r="5" spans="1:6" ht="31.5" customHeight="1" thickBot="1" x14ac:dyDescent="0.25">
      <c r="A5" s="44"/>
      <c r="B5" s="47"/>
      <c r="C5" s="53"/>
      <c r="D5" s="53"/>
      <c r="E5" s="53"/>
      <c r="F5" s="51"/>
    </row>
    <row r="6" spans="1:6" x14ac:dyDescent="0.2">
      <c r="A6" s="39" t="s">
        <v>41</v>
      </c>
      <c r="B6" s="2" t="s">
        <v>161</v>
      </c>
      <c r="C6" s="2">
        <f>17765+23</f>
        <v>17788</v>
      </c>
      <c r="D6" s="2">
        <v>4294</v>
      </c>
      <c r="E6" s="2">
        <v>373</v>
      </c>
      <c r="F6" s="3">
        <f t="shared" ref="F6:F42" si="0">SUM(C6:E6)</f>
        <v>22455</v>
      </c>
    </row>
    <row r="7" spans="1:6" x14ac:dyDescent="0.2">
      <c r="A7" s="40"/>
      <c r="B7" s="4" t="s">
        <v>162</v>
      </c>
      <c r="C7" s="4">
        <f>13649+16</f>
        <v>13665</v>
      </c>
      <c r="D7" s="4">
        <f>4551+78</f>
        <v>4629</v>
      </c>
      <c r="E7" s="4">
        <v>20</v>
      </c>
      <c r="F7" s="5">
        <f t="shared" si="0"/>
        <v>18314</v>
      </c>
    </row>
    <row r="8" spans="1:6" x14ac:dyDescent="0.2">
      <c r="A8" s="40"/>
      <c r="B8" s="4" t="s">
        <v>163</v>
      </c>
      <c r="C8" s="4">
        <f>19304+151</f>
        <v>19455</v>
      </c>
      <c r="D8" s="4">
        <f>14411+64</f>
        <v>14475</v>
      </c>
      <c r="E8" s="4">
        <v>49</v>
      </c>
      <c r="F8" s="5">
        <f t="shared" si="0"/>
        <v>33979</v>
      </c>
    </row>
    <row r="9" spans="1:6" x14ac:dyDescent="0.2">
      <c r="A9" s="40"/>
      <c r="B9" s="4" t="s">
        <v>164</v>
      </c>
      <c r="C9" s="4">
        <f>10546+152</f>
        <v>10698</v>
      </c>
      <c r="D9" s="4">
        <f>3820+61</f>
        <v>3881</v>
      </c>
      <c r="E9" s="4">
        <v>36</v>
      </c>
      <c r="F9" s="5">
        <f t="shared" si="0"/>
        <v>14615</v>
      </c>
    </row>
    <row r="10" spans="1:6" x14ac:dyDescent="0.2">
      <c r="A10" s="40"/>
      <c r="B10" s="4" t="s">
        <v>165</v>
      </c>
      <c r="C10" s="4">
        <f>6948+93</f>
        <v>7041</v>
      </c>
      <c r="D10" s="4">
        <f>1418+20</f>
        <v>1438</v>
      </c>
      <c r="E10" s="4">
        <v>15</v>
      </c>
      <c r="F10" s="5">
        <f t="shared" si="0"/>
        <v>8494</v>
      </c>
    </row>
    <row r="11" spans="1:6" x14ac:dyDescent="0.2">
      <c r="A11" s="40"/>
      <c r="B11" s="4" t="s">
        <v>166</v>
      </c>
      <c r="C11" s="4">
        <f>5700+42</f>
        <v>5742</v>
      </c>
      <c r="D11" s="4">
        <f>476+5</f>
        <v>481</v>
      </c>
      <c r="E11" s="4">
        <v>9</v>
      </c>
      <c r="F11" s="5">
        <f t="shared" si="0"/>
        <v>6232</v>
      </c>
    </row>
    <row r="12" spans="1:6" x14ac:dyDescent="0.2">
      <c r="A12" s="40"/>
      <c r="B12" s="4" t="s">
        <v>167</v>
      </c>
      <c r="C12" s="4">
        <f>4252+18</f>
        <v>4270</v>
      </c>
      <c r="D12" s="4">
        <f>89+11</f>
        <v>100</v>
      </c>
      <c r="E12" s="4">
        <v>3</v>
      </c>
      <c r="F12" s="5">
        <f t="shared" si="0"/>
        <v>4373</v>
      </c>
    </row>
    <row r="13" spans="1:6" x14ac:dyDescent="0.2">
      <c r="A13" s="40"/>
      <c r="B13" s="4" t="s">
        <v>168</v>
      </c>
      <c r="C13" s="4">
        <f>4787+5</f>
        <v>4792</v>
      </c>
      <c r="D13" s="4">
        <f>10+4</f>
        <v>14</v>
      </c>
      <c r="E13" s="4">
        <v>3</v>
      </c>
      <c r="F13" s="5">
        <f t="shared" si="0"/>
        <v>4809</v>
      </c>
    </row>
    <row r="14" spans="1:6" x14ac:dyDescent="0.2">
      <c r="A14" s="40"/>
      <c r="B14" s="6" t="s">
        <v>39</v>
      </c>
      <c r="C14" s="6">
        <f>SUM(C6:C13)</f>
        <v>83451</v>
      </c>
      <c r="D14" s="6">
        <f>SUM(D6:D13)</f>
        <v>29312</v>
      </c>
      <c r="E14" s="6">
        <f>SUM(E6:E13)</f>
        <v>508</v>
      </c>
      <c r="F14" s="7">
        <f t="shared" si="0"/>
        <v>113271</v>
      </c>
    </row>
    <row r="15" spans="1:6" x14ac:dyDescent="0.2">
      <c r="A15" s="40" t="s">
        <v>42</v>
      </c>
      <c r="B15" s="4" t="s">
        <v>169</v>
      </c>
      <c r="C15" s="4">
        <f>5602+51</f>
        <v>5653</v>
      </c>
      <c r="D15" s="4">
        <v>125</v>
      </c>
      <c r="E15" s="4">
        <v>186</v>
      </c>
      <c r="F15" s="5">
        <f t="shared" si="0"/>
        <v>5964</v>
      </c>
    </row>
    <row r="16" spans="1:6" x14ac:dyDescent="0.2">
      <c r="A16" s="40"/>
      <c r="B16" s="4" t="s">
        <v>170</v>
      </c>
      <c r="C16" s="4">
        <f>4650+71</f>
        <v>4721</v>
      </c>
      <c r="D16" s="4">
        <v>123</v>
      </c>
      <c r="E16" s="4">
        <v>13</v>
      </c>
      <c r="F16" s="5">
        <f t="shared" si="0"/>
        <v>4857</v>
      </c>
    </row>
    <row r="17" spans="1:6" x14ac:dyDescent="0.2">
      <c r="A17" s="40"/>
      <c r="B17" s="4" t="s">
        <v>171</v>
      </c>
      <c r="C17" s="4">
        <f>7314+108</f>
        <v>7422</v>
      </c>
      <c r="D17" s="4">
        <f>325+7</f>
        <v>332</v>
      </c>
      <c r="E17" s="4">
        <v>41</v>
      </c>
      <c r="F17" s="5">
        <f t="shared" si="0"/>
        <v>7795</v>
      </c>
    </row>
    <row r="18" spans="1:6" x14ac:dyDescent="0.2">
      <c r="A18" s="40"/>
      <c r="B18" s="4" t="s">
        <v>172</v>
      </c>
      <c r="C18" s="4">
        <f>4304+73</f>
        <v>4377</v>
      </c>
      <c r="D18" s="4">
        <f>149+4</f>
        <v>153</v>
      </c>
      <c r="E18" s="4">
        <v>24</v>
      </c>
      <c r="F18" s="5">
        <f t="shared" si="0"/>
        <v>4554</v>
      </c>
    </row>
    <row r="19" spans="1:6" x14ac:dyDescent="0.2">
      <c r="A19" s="40"/>
      <c r="B19" s="4" t="s">
        <v>173</v>
      </c>
      <c r="C19" s="4">
        <f>2977+51</f>
        <v>3028</v>
      </c>
      <c r="D19" s="4">
        <f>60+2</f>
        <v>62</v>
      </c>
      <c r="E19" s="4">
        <v>13</v>
      </c>
      <c r="F19" s="5">
        <f t="shared" si="0"/>
        <v>3103</v>
      </c>
    </row>
    <row r="20" spans="1:6" x14ac:dyDescent="0.2">
      <c r="A20" s="40"/>
      <c r="B20" s="4" t="s">
        <v>174</v>
      </c>
      <c r="C20" s="4">
        <f>1874+18</f>
        <v>1892</v>
      </c>
      <c r="D20" s="4">
        <v>18</v>
      </c>
      <c r="E20" s="4">
        <v>3</v>
      </c>
      <c r="F20" s="5">
        <f t="shared" si="0"/>
        <v>1913</v>
      </c>
    </row>
    <row r="21" spans="1:6" x14ac:dyDescent="0.2">
      <c r="A21" s="40"/>
      <c r="B21" s="4" t="s">
        <v>175</v>
      </c>
      <c r="C21" s="4">
        <f>1128+3</f>
        <v>1131</v>
      </c>
      <c r="D21" s="4">
        <v>0</v>
      </c>
      <c r="E21" s="4">
        <v>3</v>
      </c>
      <c r="F21" s="5">
        <f t="shared" si="0"/>
        <v>1134</v>
      </c>
    </row>
    <row r="22" spans="1:6" x14ac:dyDescent="0.2">
      <c r="A22" s="40"/>
      <c r="B22" s="4" t="s">
        <v>176</v>
      </c>
      <c r="C22" s="4">
        <f>231+1</f>
        <v>232</v>
      </c>
      <c r="D22" s="4">
        <v>0</v>
      </c>
      <c r="E22" s="4">
        <v>0</v>
      </c>
      <c r="F22" s="5">
        <f t="shared" si="0"/>
        <v>232</v>
      </c>
    </row>
    <row r="23" spans="1:6" x14ac:dyDescent="0.2">
      <c r="A23" s="40"/>
      <c r="B23" s="6" t="s">
        <v>39</v>
      </c>
      <c r="C23" s="6">
        <f>SUM(C15:C22)</f>
        <v>28456</v>
      </c>
      <c r="D23" s="6">
        <f>SUM(D15:D22)</f>
        <v>813</v>
      </c>
      <c r="E23" s="6">
        <f>SUM(E15:E22)</f>
        <v>283</v>
      </c>
      <c r="F23" s="7">
        <f t="shared" si="0"/>
        <v>29552</v>
      </c>
    </row>
    <row r="24" spans="1:6" x14ac:dyDescent="0.2">
      <c r="A24" s="40" t="s">
        <v>43</v>
      </c>
      <c r="B24" s="4" t="s">
        <v>177</v>
      </c>
      <c r="C24" s="4">
        <v>106</v>
      </c>
      <c r="D24" s="4">
        <v>42</v>
      </c>
      <c r="E24" s="4">
        <v>64</v>
      </c>
      <c r="F24" s="5">
        <f t="shared" si="0"/>
        <v>212</v>
      </c>
    </row>
    <row r="25" spans="1:6" x14ac:dyDescent="0.2">
      <c r="A25" s="40"/>
      <c r="B25" s="4" t="s">
        <v>178</v>
      </c>
      <c r="C25" s="4">
        <v>91</v>
      </c>
      <c r="D25" s="4">
        <v>33</v>
      </c>
      <c r="E25" s="4">
        <v>4</v>
      </c>
      <c r="F25" s="5">
        <f t="shared" si="0"/>
        <v>128</v>
      </c>
    </row>
    <row r="26" spans="1:6" x14ac:dyDescent="0.2">
      <c r="A26" s="40"/>
      <c r="B26" s="4" t="s">
        <v>179</v>
      </c>
      <c r="C26" s="4">
        <f>213+2</f>
        <v>215</v>
      </c>
      <c r="D26" s="4">
        <f>102+2</f>
        <v>104</v>
      </c>
      <c r="E26" s="4">
        <v>13</v>
      </c>
      <c r="F26" s="5">
        <f t="shared" si="0"/>
        <v>332</v>
      </c>
    </row>
    <row r="27" spans="1:6" x14ac:dyDescent="0.2">
      <c r="A27" s="40"/>
      <c r="B27" s="4" t="s">
        <v>180</v>
      </c>
      <c r="C27" s="4">
        <f>128+2</f>
        <v>130</v>
      </c>
      <c r="D27" s="4">
        <f>65+2</f>
        <v>67</v>
      </c>
      <c r="E27" s="4">
        <v>3</v>
      </c>
      <c r="F27" s="5">
        <f t="shared" si="0"/>
        <v>200</v>
      </c>
    </row>
    <row r="28" spans="1:6" x14ac:dyDescent="0.2">
      <c r="A28" s="40"/>
      <c r="B28" s="4" t="s">
        <v>181</v>
      </c>
      <c r="C28" s="4">
        <v>107</v>
      </c>
      <c r="D28" s="4">
        <f>35+2</f>
        <v>37</v>
      </c>
      <c r="E28" s="4">
        <v>1</v>
      </c>
      <c r="F28" s="5">
        <f t="shared" si="0"/>
        <v>145</v>
      </c>
    </row>
    <row r="29" spans="1:6" x14ac:dyDescent="0.2">
      <c r="A29" s="40"/>
      <c r="B29" s="4" t="s">
        <v>182</v>
      </c>
      <c r="C29" s="4">
        <f>84+1</f>
        <v>85</v>
      </c>
      <c r="D29" s="4">
        <f>10+3</f>
        <v>13</v>
      </c>
      <c r="E29" s="4">
        <v>0</v>
      </c>
      <c r="F29" s="5">
        <f t="shared" si="0"/>
        <v>98</v>
      </c>
    </row>
    <row r="30" spans="1:6" x14ac:dyDescent="0.2">
      <c r="A30" s="40"/>
      <c r="B30" s="4" t="s">
        <v>183</v>
      </c>
      <c r="C30" s="4">
        <v>34</v>
      </c>
      <c r="D30" s="4">
        <v>0</v>
      </c>
      <c r="E30" s="4">
        <v>0</v>
      </c>
      <c r="F30" s="5">
        <f t="shared" si="0"/>
        <v>34</v>
      </c>
    </row>
    <row r="31" spans="1:6" x14ac:dyDescent="0.2">
      <c r="A31" s="40"/>
      <c r="B31" s="4" t="s">
        <v>184</v>
      </c>
      <c r="C31" s="4">
        <v>3</v>
      </c>
      <c r="D31" s="4">
        <v>0</v>
      </c>
      <c r="E31" s="4">
        <v>0</v>
      </c>
      <c r="F31" s="5">
        <f t="shared" si="0"/>
        <v>3</v>
      </c>
    </row>
    <row r="32" spans="1:6" x14ac:dyDescent="0.2">
      <c r="A32" s="40"/>
      <c r="B32" s="6" t="s">
        <v>39</v>
      </c>
      <c r="C32" s="6">
        <f>SUM(C24:C31)</f>
        <v>771</v>
      </c>
      <c r="D32" s="6">
        <f>SUM(D24:D31)</f>
        <v>296</v>
      </c>
      <c r="E32" s="6">
        <f>SUM(E24:E31)</f>
        <v>85</v>
      </c>
      <c r="F32" s="7">
        <f t="shared" si="0"/>
        <v>1152</v>
      </c>
    </row>
    <row r="33" spans="1:6" x14ac:dyDescent="0.2">
      <c r="A33" s="40" t="s">
        <v>44</v>
      </c>
      <c r="B33" s="4" t="s">
        <v>185</v>
      </c>
      <c r="C33" s="4">
        <v>16</v>
      </c>
      <c r="D33" s="4">
        <v>12</v>
      </c>
      <c r="E33" s="4">
        <v>24</v>
      </c>
      <c r="F33" s="5">
        <f t="shared" si="0"/>
        <v>52</v>
      </c>
    </row>
    <row r="34" spans="1:6" x14ac:dyDescent="0.2">
      <c r="A34" s="40"/>
      <c r="B34" s="4" t="s">
        <v>186</v>
      </c>
      <c r="C34" s="4">
        <v>10</v>
      </c>
      <c r="D34" s="4">
        <v>6</v>
      </c>
      <c r="E34" s="4">
        <v>3</v>
      </c>
      <c r="F34" s="5">
        <f t="shared" si="0"/>
        <v>19</v>
      </c>
    </row>
    <row r="35" spans="1:6" x14ac:dyDescent="0.2">
      <c r="A35" s="40"/>
      <c r="B35" s="4" t="s">
        <v>187</v>
      </c>
      <c r="C35" s="4">
        <v>49</v>
      </c>
      <c r="D35" s="4">
        <f>30+1</f>
        <v>31</v>
      </c>
      <c r="E35" s="4">
        <v>13</v>
      </c>
      <c r="F35" s="5">
        <f t="shared" si="0"/>
        <v>93</v>
      </c>
    </row>
    <row r="36" spans="1:6" x14ac:dyDescent="0.2">
      <c r="A36" s="40"/>
      <c r="B36" s="4" t="s">
        <v>188</v>
      </c>
      <c r="C36" s="4">
        <v>23</v>
      </c>
      <c r="D36" s="4">
        <v>19</v>
      </c>
      <c r="E36" s="4">
        <v>3</v>
      </c>
      <c r="F36" s="5">
        <f t="shared" si="0"/>
        <v>45</v>
      </c>
    </row>
    <row r="37" spans="1:6" x14ac:dyDescent="0.2">
      <c r="A37" s="40"/>
      <c r="B37" s="4" t="s">
        <v>189</v>
      </c>
      <c r="C37" s="4">
        <v>14</v>
      </c>
      <c r="D37" s="4">
        <v>5</v>
      </c>
      <c r="E37" s="4">
        <v>0</v>
      </c>
      <c r="F37" s="5">
        <f t="shared" si="0"/>
        <v>19</v>
      </c>
    </row>
    <row r="38" spans="1:6" x14ac:dyDescent="0.2">
      <c r="A38" s="40"/>
      <c r="B38" s="4" t="s">
        <v>190</v>
      </c>
      <c r="C38" s="4">
        <v>14</v>
      </c>
      <c r="D38" s="4">
        <v>1</v>
      </c>
      <c r="E38" s="4">
        <v>0</v>
      </c>
      <c r="F38" s="5">
        <f t="shared" si="0"/>
        <v>15</v>
      </c>
    </row>
    <row r="39" spans="1:6" x14ac:dyDescent="0.2">
      <c r="A39" s="40"/>
      <c r="B39" s="4" t="s">
        <v>191</v>
      </c>
      <c r="C39" s="4">
        <f>3+1</f>
        <v>4</v>
      </c>
      <c r="D39" s="4">
        <v>0</v>
      </c>
      <c r="E39" s="4">
        <v>0</v>
      </c>
      <c r="F39" s="5">
        <f t="shared" si="0"/>
        <v>4</v>
      </c>
    </row>
    <row r="40" spans="1:6" x14ac:dyDescent="0.2">
      <c r="A40" s="40"/>
      <c r="B40" s="4" t="s">
        <v>192</v>
      </c>
      <c r="C40" s="4">
        <v>0</v>
      </c>
      <c r="D40" s="4">
        <v>0</v>
      </c>
      <c r="E40" s="4">
        <v>0</v>
      </c>
      <c r="F40" s="5">
        <f t="shared" si="0"/>
        <v>0</v>
      </c>
    </row>
    <row r="41" spans="1:6" ht="12.75" thickBot="1" x14ac:dyDescent="0.25">
      <c r="A41" s="41"/>
      <c r="B41" s="8" t="s">
        <v>39</v>
      </c>
      <c r="C41" s="8">
        <f>SUM(C33:C40)</f>
        <v>130</v>
      </c>
      <c r="D41" s="8">
        <f>SUM(D33:D40)</f>
        <v>74</v>
      </c>
      <c r="E41" s="8">
        <f>SUM(E33:E40)</f>
        <v>43</v>
      </c>
      <c r="F41" s="9">
        <f t="shared" si="0"/>
        <v>247</v>
      </c>
    </row>
    <row r="42" spans="1:6" ht="12.75" thickBot="1" x14ac:dyDescent="0.25">
      <c r="A42" s="10" t="s">
        <v>39</v>
      </c>
      <c r="B42" s="11"/>
      <c r="C42" s="11">
        <f>C14+C23+C32+C41</f>
        <v>112808</v>
      </c>
      <c r="D42" s="11">
        <f>D14+D23+D32+D41</f>
        <v>30495</v>
      </c>
      <c r="E42" s="11">
        <f>E14+E23+E32+E41</f>
        <v>919</v>
      </c>
      <c r="F42" s="12">
        <f t="shared" si="0"/>
        <v>144222</v>
      </c>
    </row>
    <row r="43" spans="1:6" x14ac:dyDescent="0.2">
      <c r="A43" s="18"/>
      <c r="B43" s="19"/>
      <c r="C43" s="19"/>
      <c r="D43" s="19"/>
      <c r="E43" s="19"/>
      <c r="F43" s="19"/>
    </row>
    <row r="45" spans="1:6" ht="25.5" customHeight="1" x14ac:dyDescent="0.2">
      <c r="A45" s="35" t="s">
        <v>159</v>
      </c>
      <c r="B45" s="35"/>
      <c r="C45" s="35"/>
      <c r="D45" s="35"/>
      <c r="E45" s="35"/>
      <c r="F45" s="35"/>
    </row>
    <row r="46" spans="1:6" ht="12.75" customHeight="1" x14ac:dyDescent="0.2">
      <c r="A46" s="13">
        <v>43151</v>
      </c>
    </row>
    <row r="47" spans="1:6" ht="12.75" customHeight="1" x14ac:dyDescent="0.2">
      <c r="A47" s="36" t="s">
        <v>160</v>
      </c>
      <c r="B47" s="36"/>
      <c r="C47" s="36"/>
    </row>
    <row r="49" spans="1:7" x14ac:dyDescent="0.2">
      <c r="D49" s="37" t="s">
        <v>45</v>
      </c>
      <c r="E49" s="37"/>
      <c r="F49" s="37"/>
    </row>
    <row r="50" spans="1:7" x14ac:dyDescent="0.2">
      <c r="D50" s="37" t="s">
        <v>46</v>
      </c>
      <c r="E50" s="37"/>
      <c r="F50" s="37"/>
      <c r="G50" s="20"/>
    </row>
    <row r="51" spans="1:7" x14ac:dyDescent="0.2">
      <c r="F51" s="20"/>
      <c r="G51" s="20"/>
    </row>
    <row r="55" spans="1:7" x14ac:dyDescent="0.2">
      <c r="A55" s="15"/>
    </row>
  </sheetData>
  <mergeCells count="16">
    <mergeCell ref="D49:F49"/>
    <mergeCell ref="D50:F50"/>
    <mergeCell ref="A6:A14"/>
    <mergeCell ref="A15:A23"/>
    <mergeCell ref="A24:A32"/>
    <mergeCell ref="A33:A41"/>
    <mergeCell ref="A45:F45"/>
    <mergeCell ref="A47:C47"/>
    <mergeCell ref="A1:F1"/>
    <mergeCell ref="A3:A5"/>
    <mergeCell ref="B3:B5"/>
    <mergeCell ref="C3:E3"/>
    <mergeCell ref="F3:F5"/>
    <mergeCell ref="C4:C5"/>
    <mergeCell ref="D4:D5"/>
    <mergeCell ref="E4:E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122013</vt:lpstr>
      <vt:lpstr>INV122013</vt:lpstr>
      <vt:lpstr>122014</vt:lpstr>
      <vt:lpstr>INV122014</vt:lpstr>
      <vt:lpstr>122015</vt:lpstr>
      <vt:lpstr>INV122015</vt:lpstr>
      <vt:lpstr>122016 </vt:lpstr>
      <vt:lpstr>INV122016</vt:lpstr>
      <vt:lpstr>122017</vt:lpstr>
      <vt:lpstr>INV122017</vt:lpstr>
      <vt:lpstr>122018</vt:lpstr>
      <vt:lpstr>INV122018</vt:lpstr>
      <vt:lpstr>122019</vt:lpstr>
      <vt:lpstr>INV122019</vt:lpstr>
      <vt:lpstr>'INV122013'!Print_Area</vt:lpstr>
      <vt:lpstr>'INV122014'!Print_Area</vt:lpstr>
      <vt:lpstr>'INV122015'!Print_Area</vt:lpstr>
      <vt:lpstr>'INV122016'!Print_Area</vt:lpstr>
      <vt:lpstr>'INV122017'!Print_Area</vt:lpstr>
      <vt:lpstr>'INV122018'!Print_Area</vt:lpstr>
      <vt:lpstr>'INV122019'!Print_Area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2020-02-27T08:10:20Z</cp:lastPrinted>
  <dcterms:created xsi:type="dcterms:W3CDTF">2001-06-20T08:02:38Z</dcterms:created>
  <dcterms:modified xsi:type="dcterms:W3CDTF">2020-02-27T08:11:45Z</dcterms:modified>
</cp:coreProperties>
</file>